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itinfoalvarezandmarsal-my.sharepoint.com/personal/jsalmon_alvarezandmarsal_com/Documents/Documents/"/>
    </mc:Choice>
  </mc:AlternateContent>
  <xr:revisionPtr revIDLastSave="0" documentId="8_{7EE05F6C-303D-49BC-A7CA-B9A4BBCE3117}" xr6:coauthVersionLast="47" xr6:coauthVersionMax="47" xr10:uidLastSave="{00000000-0000-0000-0000-000000000000}"/>
  <bookViews>
    <workbookView xWindow="-110" yWindow="-110" windowWidth="19420" windowHeight="10420" xr2:uid="{00000000-000D-0000-FFFF-FFFF00000000}"/>
  </bookViews>
  <sheets>
    <sheet name="IMD Overview" sheetId="6" r:id="rId1"/>
    <sheet name="IMD Historical" sheetId="2" r:id="rId2"/>
    <sheet name="IMD Without Waiver" sheetId="3" r:id="rId3"/>
    <sheet name="IMD With Waiver" sheetId="5" r:id="rId4"/>
    <sheet name="IMD Summary" sheetId="1" r:id="rId5"/>
    <sheet name="IMD Caseloads" sheetId="4" r:id="rId6"/>
  </sheets>
  <definedNames>
    <definedName name="_ftn1" localSheetId="0">'IMD Overview'!$B$18</definedName>
    <definedName name="_ftnref1" localSheetId="0">'IMD Overview'!$B$8</definedName>
    <definedName name="PopStatu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7" i="1" l="1"/>
  <c r="D33" i="5"/>
  <c r="O60" i="2" l="1"/>
  <c r="N60" i="2"/>
  <c r="C33" i="2"/>
  <c r="D10" i="4" s="1"/>
  <c r="E49" i="2" l="1"/>
  <c r="C34" i="2"/>
  <c r="C57" i="1" l="1"/>
  <c r="B31" i="5"/>
  <c r="E41" i="3"/>
  <c r="E40" i="3"/>
  <c r="B40" i="3"/>
  <c r="C39" i="3"/>
  <c r="B49" i="2"/>
  <c r="D40" i="2" s="1"/>
  <c r="M42" i="2"/>
  <c r="B9" i="3" l="1"/>
  <c r="B12" i="1"/>
  <c r="C24" i="2"/>
  <c r="B23" i="1" l="1"/>
  <c r="B10" i="4" s="1"/>
  <c r="C29" i="2"/>
  <c r="C19" i="2"/>
  <c r="C6" i="4"/>
  <c r="C7" i="4" s="1"/>
  <c r="C56" i="1"/>
  <c r="C7" i="3"/>
  <c r="C55" i="1" s="1"/>
  <c r="C6" i="3"/>
  <c r="C54" i="1" s="1"/>
  <c r="C8" i="4" l="1"/>
  <c r="D7" i="4"/>
  <c r="E7" i="4" s="1"/>
  <c r="F7" i="4" s="1"/>
  <c r="G7" i="4" s="1"/>
  <c r="C9" i="4" l="1"/>
  <c r="C10" i="4" s="1"/>
  <c r="D8" i="4"/>
  <c r="E8" i="4" s="1"/>
  <c r="F8" i="4" s="1"/>
  <c r="G8" i="4" s="1"/>
  <c r="H8" i="4" s="1"/>
  <c r="H7" i="4"/>
  <c r="D9" i="4" l="1"/>
  <c r="E9" i="4" s="1"/>
  <c r="F9" i="4" s="1"/>
  <c r="G9" i="4" s="1"/>
  <c r="H9" i="4" s="1"/>
  <c r="K42" i="2"/>
  <c r="J42" i="2"/>
  <c r="B48" i="2"/>
  <c r="D39" i="2" s="1"/>
  <c r="B47" i="2"/>
  <c r="D38" i="2" s="1"/>
  <c r="B46" i="2"/>
  <c r="D37" i="2" s="1"/>
  <c r="B45" i="2"/>
  <c r="D36" i="2" s="1"/>
  <c r="B44" i="2"/>
  <c r="D35" i="2" s="1"/>
  <c r="D6" i="4" l="1"/>
  <c r="D5" i="4"/>
  <c r="C9" i="2" l="1"/>
  <c r="C14" i="2"/>
  <c r="F46" i="2"/>
  <c r="F47" i="2"/>
  <c r="D23" i="5" l="1"/>
  <c r="B21" i="5"/>
  <c r="D18" i="5"/>
  <c r="B16" i="5"/>
  <c r="E31" i="3"/>
  <c r="E30" i="3"/>
  <c r="B30" i="3"/>
  <c r="C29" i="3"/>
  <c r="B25" i="3"/>
  <c r="E26" i="3"/>
  <c r="B54" i="1" l="1"/>
  <c r="B55" i="1"/>
  <c r="B6" i="3"/>
  <c r="B9" i="1"/>
  <c r="B7" i="3"/>
  <c r="B10" i="1"/>
  <c r="B43" i="1"/>
  <c r="B21" i="1" l="1"/>
  <c r="B20" i="1"/>
  <c r="G13" i="3"/>
  <c r="C59" i="1"/>
  <c r="C53" i="1"/>
  <c r="C52" i="1"/>
  <c r="C47" i="5"/>
  <c r="B7" i="4" l="1"/>
  <c r="B8" i="4"/>
  <c r="H13" i="3"/>
  <c r="C61" i="1"/>
  <c r="F46" i="5"/>
  <c r="D4" i="5"/>
  <c r="D3" i="5"/>
  <c r="C4" i="5"/>
  <c r="C3" i="5"/>
  <c r="D39" i="5"/>
  <c r="D28" i="5"/>
  <c r="D13" i="5"/>
  <c r="D8" i="5"/>
  <c r="C48" i="3"/>
  <c r="C19" i="3"/>
  <c r="C34" i="3"/>
  <c r="C6" i="2"/>
  <c r="I13" i="3" l="1"/>
  <c r="E50" i="2"/>
  <c r="E51" i="2"/>
  <c r="E52" i="2"/>
  <c r="E53" i="2"/>
  <c r="E54" i="2"/>
  <c r="E55" i="2"/>
  <c r="E56" i="2"/>
  <c r="E57" i="2"/>
  <c r="E58" i="2"/>
  <c r="B58" i="1"/>
  <c r="B24" i="1"/>
  <c r="J13" i="3" l="1"/>
  <c r="D51" i="1"/>
  <c r="E51" i="1"/>
  <c r="F51" i="1"/>
  <c r="G51" i="1"/>
  <c r="H51" i="1"/>
  <c r="E47" i="5" l="1"/>
  <c r="F47" i="5" s="1"/>
  <c r="E48" i="3"/>
  <c r="F48" i="3" s="1"/>
  <c r="G48" i="3" s="1"/>
  <c r="H48" i="3" s="1"/>
  <c r="I48" i="3" s="1"/>
  <c r="J48" i="3" s="1"/>
  <c r="D61" i="1" l="1"/>
  <c r="G47" i="5"/>
  <c r="F48" i="5"/>
  <c r="E12" i="4"/>
  <c r="F12" i="4" s="1"/>
  <c r="G12" i="4" s="1"/>
  <c r="H12" i="4" s="1"/>
  <c r="E11" i="4"/>
  <c r="E61" i="1" l="1"/>
  <c r="H47" i="5"/>
  <c r="F11" i="4"/>
  <c r="G46" i="5"/>
  <c r="G48" i="5" s="1"/>
  <c r="G50" i="2"/>
  <c r="G51" i="2"/>
  <c r="G52" i="2"/>
  <c r="G53" i="2"/>
  <c r="G54" i="2"/>
  <c r="G55" i="2"/>
  <c r="G56" i="2"/>
  <c r="G57" i="2"/>
  <c r="G58" i="2"/>
  <c r="I47" i="5" l="1"/>
  <c r="F61" i="1"/>
  <c r="G11" i="4"/>
  <c r="H46" i="5"/>
  <c r="H48" i="5" s="1"/>
  <c r="C45" i="1"/>
  <c r="B44" i="1"/>
  <c r="J47" i="5" l="1"/>
  <c r="H61" i="1" s="1"/>
  <c r="G61" i="1"/>
  <c r="H11" i="4"/>
  <c r="J46" i="5" s="1"/>
  <c r="I46" i="5"/>
  <c r="I48" i="5" s="1"/>
  <c r="J48" i="5" l="1"/>
  <c r="K48" i="5" s="1"/>
  <c r="B43" i="5"/>
  <c r="B46" i="3"/>
  <c r="C38" i="5"/>
  <c r="B26" i="5"/>
  <c r="B11" i="5"/>
  <c r="B35" i="3"/>
  <c r="B20" i="3"/>
  <c r="L42" i="2"/>
  <c r="I42" i="2"/>
  <c r="H42" i="2"/>
  <c r="B5" i="3" l="1"/>
  <c r="B8" i="3"/>
  <c r="B37" i="5"/>
  <c r="B10" i="3"/>
  <c r="B47" i="1"/>
  <c r="B12" i="4" s="1"/>
  <c r="B61" i="1"/>
  <c r="B8" i="1"/>
  <c r="B53" i="1"/>
  <c r="B11" i="1"/>
  <c r="B56" i="1"/>
  <c r="B33" i="1"/>
  <c r="B11" i="4" s="1"/>
  <c r="B59" i="1"/>
  <c r="B6" i="5"/>
  <c r="B19" i="1" l="1"/>
  <c r="B22" i="1"/>
  <c r="B38" i="1"/>
  <c r="B9" i="4" l="1"/>
  <c r="B6" i="4"/>
  <c r="F4" i="5"/>
  <c r="G4" i="5"/>
  <c r="H4" i="5"/>
  <c r="I4" i="5"/>
  <c r="E4" i="5"/>
  <c r="E4" i="4"/>
  <c r="F4" i="4"/>
  <c r="G4" i="4"/>
  <c r="H4" i="4"/>
  <c r="D4" i="4"/>
  <c r="G47" i="3" l="1"/>
  <c r="F38" i="5" s="1"/>
  <c r="H47" i="3"/>
  <c r="G38" i="5" s="1"/>
  <c r="I47" i="3"/>
  <c r="H38" i="5" s="1"/>
  <c r="J47" i="3"/>
  <c r="I38" i="5" s="1"/>
  <c r="F47" i="3"/>
  <c r="E38" i="5" l="1"/>
  <c r="D24" i="6"/>
  <c r="C24" i="6"/>
  <c r="B15" i="3" l="1"/>
  <c r="D6" i="1"/>
  <c r="E6" i="1"/>
  <c r="F6" i="1"/>
  <c r="G6" i="1"/>
  <c r="C6" i="1"/>
  <c r="E17" i="1" l="1"/>
  <c r="C17" i="1"/>
  <c r="G17" i="1"/>
  <c r="F17" i="1"/>
  <c r="D17" i="1"/>
  <c r="B4" i="3"/>
  <c r="B7" i="1"/>
  <c r="B52" i="1"/>
  <c r="G32" i="1"/>
  <c r="G37" i="1" s="1"/>
  <c r="G46" i="1"/>
  <c r="E32" i="1"/>
  <c r="E37" i="1" s="1"/>
  <c r="E46" i="1"/>
  <c r="F32" i="1"/>
  <c r="F37" i="1" s="1"/>
  <c r="F46" i="1"/>
  <c r="C32" i="1"/>
  <c r="C37" i="1" s="1"/>
  <c r="C46" i="1"/>
  <c r="D32" i="1"/>
  <c r="D37" i="1" s="1"/>
  <c r="D46" i="1"/>
  <c r="B18" i="1" l="1"/>
  <c r="C42" i="3"/>
  <c r="C17" i="3"/>
  <c r="C27" i="3"/>
  <c r="C32" i="3"/>
  <c r="C22" i="3"/>
  <c r="C37" i="3"/>
  <c r="C47" i="1"/>
  <c r="C48" i="1" s="1"/>
  <c r="B5" i="4" l="1"/>
  <c r="C39" i="5"/>
  <c r="J36" i="3" l="1"/>
  <c r="F21" i="3"/>
  <c r="F36" i="3"/>
  <c r="F16" i="3"/>
  <c r="H31" i="3"/>
  <c r="G22" i="5" s="1"/>
  <c r="G36" i="3"/>
  <c r="F31" i="3"/>
  <c r="E22" i="5" s="1"/>
  <c r="I31" i="3"/>
  <c r="H22" i="5" s="1"/>
  <c r="H36" i="3"/>
  <c r="J31" i="3"/>
  <c r="I22" i="5" s="1"/>
  <c r="J26" i="3"/>
  <c r="I17" i="5" s="1"/>
  <c r="I36" i="3"/>
  <c r="F26" i="3"/>
  <c r="E17" i="5" s="1"/>
  <c r="I26" i="3"/>
  <c r="H17" i="5" s="1"/>
  <c r="H26" i="3"/>
  <c r="G17" i="5" s="1"/>
  <c r="G26" i="3"/>
  <c r="F17" i="5" s="1"/>
  <c r="G31" i="3"/>
  <c r="F22" i="5" s="1"/>
  <c r="D59" i="1"/>
  <c r="E39" i="5" l="1"/>
  <c r="F49" i="3"/>
  <c r="E59" i="1"/>
  <c r="F39" i="5" l="1"/>
  <c r="G49" i="3"/>
  <c r="F59" i="1"/>
  <c r="E40" i="5"/>
  <c r="C38" i="1" s="1"/>
  <c r="C33" i="1"/>
  <c r="C39" i="1" l="1"/>
  <c r="G39" i="5"/>
  <c r="G59" i="1"/>
  <c r="H49" i="3"/>
  <c r="C34" i="1"/>
  <c r="E47" i="1"/>
  <c r="E48" i="1" s="1"/>
  <c r="F40" i="5"/>
  <c r="D38" i="1" s="1"/>
  <c r="D39" i="1" s="1"/>
  <c r="D33" i="1"/>
  <c r="D34" i="1" s="1"/>
  <c r="D47" i="1"/>
  <c r="C41" i="1" l="1"/>
  <c r="D41" i="1"/>
  <c r="H39" i="5"/>
  <c r="I49" i="3"/>
  <c r="H59" i="1"/>
  <c r="D48" i="1"/>
  <c r="G40" i="5"/>
  <c r="E38" i="1" s="1"/>
  <c r="E39" i="1" s="1"/>
  <c r="E33" i="1"/>
  <c r="E34" i="1" s="1"/>
  <c r="F47" i="1" l="1"/>
  <c r="G47" i="1"/>
  <c r="G48" i="1" s="1"/>
  <c r="F33" i="1"/>
  <c r="F34" i="1" s="1"/>
  <c r="H40" i="5"/>
  <c r="F38" i="1" s="1"/>
  <c r="E41" i="1"/>
  <c r="J49" i="3"/>
  <c r="K49" i="3" s="1"/>
  <c r="J40" i="5" s="1"/>
  <c r="I39" i="5"/>
  <c r="F48" i="1" l="1"/>
  <c r="H47" i="1"/>
  <c r="H48" i="1" s="1"/>
  <c r="F39" i="1"/>
  <c r="F41" i="1" s="1"/>
  <c r="I40" i="5"/>
  <c r="G38" i="1" s="1"/>
  <c r="G39" i="1" s="1"/>
  <c r="G33" i="1"/>
  <c r="G34" i="1" s="1"/>
  <c r="H33" i="1" l="1"/>
  <c r="H34" i="1" s="1"/>
  <c r="H38" i="1"/>
  <c r="H39" i="1" s="1"/>
  <c r="G41" i="1"/>
  <c r="H41" i="1" l="1"/>
  <c r="E36" i="3" l="1"/>
  <c r="E27" i="5" l="1"/>
  <c r="F27" i="5" l="1"/>
  <c r="I27" i="5" l="1"/>
  <c r="G27" i="5"/>
  <c r="H27" i="5" l="1"/>
  <c r="E21" i="3" l="1"/>
  <c r="E16" i="3"/>
  <c r="E6" i="4"/>
  <c r="G21" i="3" s="1"/>
  <c r="E5" i="4"/>
  <c r="G16" i="3" s="1"/>
  <c r="E7" i="5" l="1"/>
  <c r="F5" i="4"/>
  <c r="H16" i="3" s="1"/>
  <c r="F6" i="4"/>
  <c r="H21" i="3" s="1"/>
  <c r="E12" i="5"/>
  <c r="E19" i="3"/>
  <c r="E34" i="3"/>
  <c r="G6" i="4" l="1"/>
  <c r="I21" i="3" s="1"/>
  <c r="F7" i="5"/>
  <c r="F12" i="5"/>
  <c r="G5" i="4"/>
  <c r="I16" i="3" s="1"/>
  <c r="H5" i="4" l="1"/>
  <c r="G7" i="5"/>
  <c r="H6" i="4"/>
  <c r="G12" i="5"/>
  <c r="J21" i="3" l="1"/>
  <c r="I12" i="5" s="1"/>
  <c r="J16" i="3"/>
  <c r="I7" i="5" s="1"/>
  <c r="H12" i="5"/>
  <c r="H7" i="5"/>
  <c r="E45" i="2" l="1"/>
  <c r="G45" i="2" s="1"/>
  <c r="I60" i="2" s="1"/>
  <c r="E44" i="2" l="1"/>
  <c r="G44" i="2" s="1"/>
  <c r="H60" i="2" s="1"/>
  <c r="E35" i="3"/>
  <c r="E22" i="3"/>
  <c r="F22" i="3" l="1"/>
  <c r="C13" i="5"/>
  <c r="E20" i="3"/>
  <c r="E17" i="3"/>
  <c r="F17" i="3" l="1"/>
  <c r="C8" i="5"/>
  <c r="G22" i="3"/>
  <c r="E13" i="5"/>
  <c r="D53" i="1" s="1"/>
  <c r="F23" i="3"/>
  <c r="C8" i="1" s="1"/>
  <c r="E14" i="5" l="1"/>
  <c r="C19" i="1" s="1"/>
  <c r="H22" i="3"/>
  <c r="G23" i="3"/>
  <c r="D8" i="1" s="1"/>
  <c r="F13" i="5"/>
  <c r="E53" i="1" s="1"/>
  <c r="E8" i="5"/>
  <c r="D52" i="1" s="1"/>
  <c r="F18" i="3"/>
  <c r="C7" i="1" s="1"/>
  <c r="G17" i="3"/>
  <c r="I22" i="3" l="1"/>
  <c r="H23" i="3"/>
  <c r="E8" i="1" s="1"/>
  <c r="G13" i="5"/>
  <c r="F53" i="1" s="1"/>
  <c r="F14" i="5"/>
  <c r="D19" i="1" s="1"/>
  <c r="H17" i="3"/>
  <c r="F8" i="5"/>
  <c r="E52" i="1" s="1"/>
  <c r="G18" i="3"/>
  <c r="D7" i="1" s="1"/>
  <c r="E9" i="5"/>
  <c r="C18" i="1" s="1"/>
  <c r="F9" i="5" l="1"/>
  <c r="D18" i="1" s="1"/>
  <c r="I17" i="3"/>
  <c r="G8" i="5"/>
  <c r="F52" i="1" s="1"/>
  <c r="H18" i="3"/>
  <c r="E7" i="1" s="1"/>
  <c r="G14" i="5"/>
  <c r="E19" i="1" s="1"/>
  <c r="J22" i="3"/>
  <c r="H13" i="5"/>
  <c r="G53" i="1" s="1"/>
  <c r="I23" i="3"/>
  <c r="F8" i="1" s="1"/>
  <c r="H14" i="5" l="1"/>
  <c r="F19" i="1" s="1"/>
  <c r="G9" i="5"/>
  <c r="E18" i="1" s="1"/>
  <c r="J23" i="3"/>
  <c r="I13" i="5"/>
  <c r="H53" i="1" s="1"/>
  <c r="J17" i="3"/>
  <c r="I18" i="3"/>
  <c r="F7" i="1" s="1"/>
  <c r="H8" i="5"/>
  <c r="G52" i="1" s="1"/>
  <c r="K23" i="3" l="1"/>
  <c r="J14" i="5" s="1"/>
  <c r="G8" i="1"/>
  <c r="H9" i="5"/>
  <c r="F18" i="1" s="1"/>
  <c r="J18" i="3"/>
  <c r="G7" i="1" s="1"/>
  <c r="I8" i="5"/>
  <c r="H52" i="1" s="1"/>
  <c r="H8" i="1"/>
  <c r="I14" i="5"/>
  <c r="G19" i="1" l="1"/>
  <c r="H19" i="1" s="1"/>
  <c r="H7" i="1"/>
  <c r="I9" i="5"/>
  <c r="G18" i="1" s="1"/>
  <c r="K18" i="3"/>
  <c r="J9" i="5" s="1"/>
  <c r="H18" i="1" l="1"/>
  <c r="E29" i="3" l="1"/>
  <c r="E39" i="3"/>
  <c r="E44" i="3" l="1"/>
  <c r="E47" i="2"/>
  <c r="E10" i="4" l="1"/>
  <c r="F41" i="3"/>
  <c r="E46" i="2"/>
  <c r="G47" i="2"/>
  <c r="K60" i="2" s="1"/>
  <c r="E32" i="3" s="1"/>
  <c r="E32" i="5" l="1"/>
  <c r="F10" i="4"/>
  <c r="G41" i="3"/>
  <c r="F32" i="3"/>
  <c r="C23" i="5"/>
  <c r="G46" i="2"/>
  <c r="J60" i="2" s="1"/>
  <c r="E27" i="3" s="1"/>
  <c r="F32" i="5" l="1"/>
  <c r="G10" i="4"/>
  <c r="H41" i="3"/>
  <c r="F27" i="3"/>
  <c r="C18" i="5"/>
  <c r="E23" i="5"/>
  <c r="D55" i="1" s="1"/>
  <c r="G32" i="3"/>
  <c r="F33" i="3"/>
  <c r="C10" i="1" s="1"/>
  <c r="G32" i="5" l="1"/>
  <c r="H10" i="4"/>
  <c r="J41" i="3" s="1"/>
  <c r="I41" i="3"/>
  <c r="E48" i="2"/>
  <c r="G49" i="2"/>
  <c r="M60" i="2" s="1"/>
  <c r="E42" i="3" s="1"/>
  <c r="G48" i="2"/>
  <c r="L60" i="2" s="1"/>
  <c r="E24" i="5"/>
  <c r="C21" i="1" s="1"/>
  <c r="H32" i="3"/>
  <c r="F23" i="5"/>
  <c r="E55" i="1" s="1"/>
  <c r="G33" i="3"/>
  <c r="D10" i="1" s="1"/>
  <c r="E18" i="5"/>
  <c r="D54" i="1" s="1"/>
  <c r="G27" i="3"/>
  <c r="F28" i="3"/>
  <c r="C9" i="1" s="1"/>
  <c r="C33" i="5" l="1"/>
  <c r="F42" i="3"/>
  <c r="H32" i="5"/>
  <c r="I32" i="5"/>
  <c r="E19" i="5"/>
  <c r="C20" i="1" s="1"/>
  <c r="F24" i="5"/>
  <c r="D21" i="1" s="1"/>
  <c r="F18" i="5"/>
  <c r="E54" i="1" s="1"/>
  <c r="H27" i="3"/>
  <c r="G28" i="3"/>
  <c r="D9" i="1" s="1"/>
  <c r="I32" i="3"/>
  <c r="H33" i="3"/>
  <c r="E10" i="1" s="1"/>
  <c r="G23" i="5"/>
  <c r="F55" i="1" s="1"/>
  <c r="E37" i="3"/>
  <c r="E45" i="3"/>
  <c r="E33" i="5" l="1"/>
  <c r="D57" i="1" s="1"/>
  <c r="G42" i="3"/>
  <c r="F43" i="3"/>
  <c r="H23" i="5"/>
  <c r="G55" i="1" s="1"/>
  <c r="J32" i="3"/>
  <c r="I33" i="3"/>
  <c r="F10" i="1" s="1"/>
  <c r="G24" i="5"/>
  <c r="E21" i="1" s="1"/>
  <c r="F19" i="5"/>
  <c r="D20" i="1" s="1"/>
  <c r="I27" i="3"/>
  <c r="G18" i="5"/>
  <c r="F54" i="1" s="1"/>
  <c r="H28" i="3"/>
  <c r="E9" i="1" s="1"/>
  <c r="F37" i="3"/>
  <c r="C28" i="5"/>
  <c r="E34" i="5" l="1"/>
  <c r="C23" i="1" s="1"/>
  <c r="C12" i="1"/>
  <c r="F33" i="5"/>
  <c r="E57" i="1" s="1"/>
  <c r="H42" i="3"/>
  <c r="G43" i="3"/>
  <c r="D12" i="1" s="1"/>
  <c r="I28" i="3"/>
  <c r="F9" i="1" s="1"/>
  <c r="H18" i="5"/>
  <c r="G54" i="1" s="1"/>
  <c r="J27" i="3"/>
  <c r="G19" i="5"/>
  <c r="E20" i="1" s="1"/>
  <c r="I23" i="5"/>
  <c r="H55" i="1" s="1"/>
  <c r="J33" i="3"/>
  <c r="G10" i="1" s="1"/>
  <c r="H24" i="5"/>
  <c r="F21" i="1" s="1"/>
  <c r="G37" i="3"/>
  <c r="E28" i="5"/>
  <c r="D56" i="1" s="1"/>
  <c r="F38" i="3"/>
  <c r="C11" i="1" s="1"/>
  <c r="C14" i="1" s="1"/>
  <c r="F34" i="5" l="1"/>
  <c r="D23" i="1" s="1"/>
  <c r="I42" i="3"/>
  <c r="G33" i="5"/>
  <c r="F57" i="1" s="1"/>
  <c r="H43" i="3"/>
  <c r="I24" i="5"/>
  <c r="H10" i="1"/>
  <c r="K33" i="3"/>
  <c r="E29" i="5"/>
  <c r="C22" i="1" s="1"/>
  <c r="C25" i="1" s="1"/>
  <c r="I18" i="5"/>
  <c r="H54" i="1" s="1"/>
  <c r="J28" i="3"/>
  <c r="G9" i="1" s="1"/>
  <c r="H37" i="3"/>
  <c r="F28" i="5"/>
  <c r="E56" i="1" s="1"/>
  <c r="G38" i="3"/>
  <c r="D11" i="1" s="1"/>
  <c r="D14" i="1" s="1"/>
  <c r="H19" i="5"/>
  <c r="F20" i="1" s="1"/>
  <c r="G21" i="1" l="1"/>
  <c r="G34" i="5"/>
  <c r="E23" i="1" s="1"/>
  <c r="E12" i="1"/>
  <c r="J42" i="3"/>
  <c r="H33" i="5"/>
  <c r="G57" i="1" s="1"/>
  <c r="I43" i="3"/>
  <c r="I37" i="3"/>
  <c r="H38" i="3"/>
  <c r="E11" i="1" s="1"/>
  <c r="E14" i="1" s="1"/>
  <c r="G28" i="5"/>
  <c r="F56" i="1" s="1"/>
  <c r="I19" i="5"/>
  <c r="G20" i="1" s="1"/>
  <c r="K28" i="3"/>
  <c r="C27" i="1"/>
  <c r="J24" i="5"/>
  <c r="F29" i="5"/>
  <c r="D22" i="1" s="1"/>
  <c r="D25" i="1" s="1"/>
  <c r="H34" i="5" l="1"/>
  <c r="F23" i="1" s="1"/>
  <c r="F12" i="1"/>
  <c r="H21" i="1"/>
  <c r="I33" i="5"/>
  <c r="H57" i="1" s="1"/>
  <c r="J43" i="3"/>
  <c r="G12" i="1" s="1"/>
  <c r="J19" i="5"/>
  <c r="H9" i="1"/>
  <c r="G29" i="5"/>
  <c r="E22" i="1" s="1"/>
  <c r="E25" i="1" s="1"/>
  <c r="J37" i="3"/>
  <c r="H28" i="5"/>
  <c r="G56" i="1" s="1"/>
  <c r="I38" i="3"/>
  <c r="F11" i="1" s="1"/>
  <c r="F14" i="1" s="1"/>
  <c r="D27" i="1"/>
  <c r="H20" i="1"/>
  <c r="H12" i="1" l="1"/>
  <c r="I34" i="5"/>
  <c r="G23" i="1" s="1"/>
  <c r="H23" i="1" s="1"/>
  <c r="K43" i="3"/>
  <c r="J34" i="5" s="1"/>
  <c r="E27" i="1"/>
  <c r="H29" i="5"/>
  <c r="F22" i="1" s="1"/>
  <c r="F25" i="1" s="1"/>
  <c r="J38" i="3"/>
  <c r="G11" i="1" s="1"/>
  <c r="G14" i="1" s="1"/>
  <c r="I28" i="5"/>
  <c r="H56" i="1" s="1"/>
  <c r="K38" i="3" l="1"/>
  <c r="I29" i="5"/>
  <c r="G22" i="1" s="1"/>
  <c r="G25" i="1" s="1"/>
  <c r="F27" i="1"/>
  <c r="H22" i="1" l="1"/>
  <c r="H25" i="1" s="1"/>
  <c r="H11" i="1"/>
  <c r="H14" i="1" s="1"/>
  <c r="J29" i="5"/>
  <c r="G27" i="1" l="1"/>
  <c r="H27" i="1"/>
</calcChain>
</file>

<file path=xl/sharedStrings.xml><?xml version="1.0" encoding="utf-8"?>
<sst xmlns="http://schemas.openxmlformats.org/spreadsheetml/2006/main" count="302" uniqueCount="162">
  <si>
    <t>Without-Waiver Total Expenditures</t>
  </si>
  <si>
    <t>DEMONSTRATION YEARS (DY)</t>
  </si>
  <si>
    <t xml:space="preserve">TOTAL </t>
  </si>
  <si>
    <t>DY 01</t>
  </si>
  <si>
    <t>DY 02</t>
  </si>
  <si>
    <t>DY 03</t>
  </si>
  <si>
    <t>DY 04</t>
  </si>
  <si>
    <t>DY 05</t>
  </si>
  <si>
    <t>TOTAL</t>
  </si>
  <si>
    <t>With-Waiver Total Expenditures</t>
  </si>
  <si>
    <t xml:space="preserve">TOTAL EXPENDITURES </t>
  </si>
  <si>
    <t xml:space="preserve">ELIGIBLE MEMBER MONTHS </t>
  </si>
  <si>
    <t xml:space="preserve">PMPM COST </t>
  </si>
  <si>
    <t>ELIGIBILITY</t>
  </si>
  <si>
    <t>MONTHS</t>
  </si>
  <si>
    <t>GROUP</t>
  </si>
  <si>
    <t xml:space="preserve"> OF AGING</t>
  </si>
  <si>
    <t>WOW</t>
  </si>
  <si>
    <t>Eligible Member Months</t>
  </si>
  <si>
    <t>n.a.</t>
  </si>
  <si>
    <t>PMPM Cost</t>
  </si>
  <si>
    <t>Total Expenditure</t>
  </si>
  <si>
    <t>TOTAL WW</t>
  </si>
  <si>
    <t>Scenario 1</t>
  </si>
  <si>
    <t>Without Waiver (i.e., budget neutrality limit)</t>
  </si>
  <si>
    <t xml:space="preserve">·         Estimated average of all MA costs incurred during IMD MMs. </t>
  </si>
  <si>
    <t>·         Est. total MA cost in IMD MMs ÷ est. IMD MMs</t>
  </si>
  <si>
    <t>Member Months</t>
  </si>
  <si>
    <t>BN Expenditure Limit</t>
  </si>
  <si>
    <t>·         PMPM cost × IMD MMs</t>
  </si>
  <si>
    <t xml:space="preserve">With Waiver </t>
  </si>
  <si>
    <t>Expenditures Subject to Limit</t>
  </si>
  <si>
    <t>·         All MA costs with dates of service during IMD MMs</t>
  </si>
  <si>
    <t>Reporting Requirements</t>
  </si>
  <si>
    <t>State must be able to identify and report:</t>
  </si>
  <si>
    <t>·         IMD MMs separate from other Medicaid months of eligibility</t>
  </si>
  <si>
    <t xml:space="preserve">·         MA costs during IMD MMs separate from other MA costs </t>
  </si>
  <si>
    <t>Scenario 2</t>
  </si>
  <si>
    <t>·         PMPM cost × Non-IMD MMs</t>
  </si>
  <si>
    <t>·         Non-IMD MMs separate from IMD MMs</t>
  </si>
  <si>
    <r>
      <t xml:space="preserve">·         IMD MM: Any </t>
    </r>
    <r>
      <rPr>
        <i/>
        <sz val="10"/>
        <color theme="1"/>
        <rFont val="Calibri Light"/>
        <family val="2"/>
        <scheme val="major"/>
      </rPr>
      <t>whole</t>
    </r>
    <r>
      <rPr>
        <sz val="10"/>
        <color theme="1"/>
        <rFont val="Calibri Light"/>
        <family val="2"/>
        <scheme val="major"/>
      </rPr>
      <t xml:space="preserve"> month during which a Medicaid eligible is inpatient in an IMD at least 1 day</t>
    </r>
  </si>
  <si>
    <r>
      <t xml:space="preserve">·         </t>
    </r>
    <r>
      <rPr>
        <i/>
        <sz val="10"/>
        <color theme="1"/>
        <rFont val="Calibri Light"/>
        <family val="2"/>
        <scheme val="major"/>
      </rPr>
      <t>Can</t>
    </r>
    <r>
      <rPr>
        <sz val="10"/>
        <color theme="1"/>
        <rFont val="Calibri Light"/>
        <family val="2"/>
        <scheme val="major"/>
      </rPr>
      <t xml:space="preserve"> exclude months with ≤ 15 IMD inpatient days under managed care</t>
    </r>
  </si>
  <si>
    <t>Glossary of Abbreviations</t>
  </si>
  <si>
    <t>CNOM = expenditure authority (cost not otherwise matchable)</t>
  </si>
  <si>
    <t>IMD = institution for mental diseases</t>
  </si>
  <si>
    <t>MA = medical assistance</t>
  </si>
  <si>
    <t>MM = member month</t>
  </si>
  <si>
    <t>SUD = substance abuse disorder</t>
  </si>
  <si>
    <t>Notes</t>
  </si>
  <si>
    <t xml:space="preserve">1.      Date of service for capitation payments is the month of coverage for which the capitation is paid.  </t>
  </si>
  <si>
    <t>Trends</t>
  </si>
  <si>
    <t>Multiple MEGs</t>
  </si>
  <si>
    <t>Member Month Non-Duplication</t>
  </si>
  <si>
    <t>Service 7</t>
  </si>
  <si>
    <t>Service 8</t>
  </si>
  <si>
    <t>Service 9</t>
  </si>
  <si>
    <t>Add additional services, as necessary</t>
  </si>
  <si>
    <t>Totals</t>
  </si>
  <si>
    <t>Net Overspend</t>
  </si>
  <si>
    <t>State Data Inputs</t>
  </si>
  <si>
    <t>Service 10</t>
  </si>
  <si>
    <t>Service 11</t>
  </si>
  <si>
    <t>Service 12</t>
  </si>
  <si>
    <t>Service 5</t>
  </si>
  <si>
    <t>Service 6</t>
  </si>
  <si>
    <t>Trend Rate</t>
  </si>
  <si>
    <t>Included</t>
  </si>
  <si>
    <t>Choose "Included" from Drop-Down(s) to Link Services with MEG(s)</t>
  </si>
  <si>
    <t>CURRENT State Plan Service(s)</t>
  </si>
  <si>
    <t>NOT CURRENT State Plan Svc(s)</t>
  </si>
  <si>
    <t>How To Use This Spreadsheet:</t>
  </si>
  <si>
    <r>
      <t>Situation:</t>
    </r>
    <r>
      <rPr>
        <sz val="10"/>
        <color theme="1"/>
        <rFont val="Calibri Light"/>
        <family val="2"/>
        <scheme val="major"/>
      </rPr>
      <t xml:space="preserve"> Demonstration CNOM include both CNOM for IMD exclusion related MA to </t>
    </r>
    <r>
      <rPr>
        <i/>
        <sz val="10"/>
        <color theme="1"/>
        <rFont val="Calibri Light"/>
        <family val="2"/>
        <scheme val="major"/>
      </rPr>
      <t>and</t>
    </r>
    <r>
      <rPr>
        <sz val="10"/>
        <color theme="1"/>
        <rFont val="Calibri Light"/>
        <family val="2"/>
        <scheme val="major"/>
      </rPr>
      <t xml:space="preserve"> CNOM for additional hypothetical services that can be provided outside the IMD. </t>
    </r>
  </si>
  <si>
    <t>Hypo = hypothetical, i.e., optional services that could be included in the state plan but are instead being authorized in the 1115 using CNOM</t>
  </si>
  <si>
    <t>RATE</t>
  </si>
  <si>
    <t>Supplemental Methodology Document</t>
  </si>
  <si>
    <t>Estimated Eligible Member Months for All Medical Assistance Provided in an IMD</t>
  </si>
  <si>
    <t>SUD MEG(s)</t>
  </si>
  <si>
    <t>Add Trend Rates &amp; PMPMs from Table Below to 'SUD IMD Supplemental Budget Neutrality Test(s)' STC</t>
  </si>
  <si>
    <t>IMD Services</t>
  </si>
  <si>
    <t>Continue MEGs from Above, As Needed</t>
  </si>
  <si>
    <t>Projected IMD Member Months/Caseloads</t>
  </si>
  <si>
    <t>·         Estimate of average CNOM service cost during Non-IMD MMs</t>
  </si>
  <si>
    <t>·         Est. total CNOM service cost ÷ est. Non-IMD MMs</t>
  </si>
  <si>
    <r>
      <t xml:space="preserve">·         Non-IMD MM: Any month of Medicaid eligibility in which a person </t>
    </r>
    <r>
      <rPr>
        <i/>
        <sz val="10"/>
        <color theme="1"/>
        <rFont val="Calibri Light"/>
        <family val="2"/>
        <scheme val="major"/>
      </rPr>
      <t xml:space="preserve">could </t>
    </r>
    <r>
      <rPr>
        <sz val="10"/>
        <color theme="1"/>
        <rFont val="Calibri Light"/>
        <family val="2"/>
        <scheme val="major"/>
      </rPr>
      <t>receive a CNOM service that is not an IMD MM</t>
    </r>
  </si>
  <si>
    <t>·         All CNOM service costs with dates of service during Non-IMD MMs</t>
  </si>
  <si>
    <t>·         IMD CNOM costs separate from other MA costs</t>
  </si>
  <si>
    <t>SMI = serious mental illness</t>
  </si>
  <si>
    <t>SED = serious emotional disturbance</t>
  </si>
  <si>
    <r>
      <t>Situation:</t>
    </r>
    <r>
      <rPr>
        <sz val="10"/>
        <color theme="1"/>
        <rFont val="Calibri Light"/>
        <family val="2"/>
        <scheme val="major"/>
      </rPr>
      <t xml:space="preserve"> Demonstration CNOM is limited to expenditures for otherwise covered services furnished to otherwise eligible individuals who are primarily receiving treatment for SUD, SMI and/or SED who are residents in facilities that meet the definition of an IMD (i.e., IMD exclusion related MA).  </t>
    </r>
  </si>
  <si>
    <t>·         CNOM service cost can include capitated cost of IMD services</t>
  </si>
  <si>
    <t>·         This flexibility is referred to in the regulations as “in-lieu-of” services or settings and is effectuated through the contract between the state and the MCO or PIHP.</t>
  </si>
  <si>
    <t>Estimated PMPM Cost for All Services Provided in an IMD</t>
  </si>
  <si>
    <t>States must not report expenditures for a capitation payment to a risk-based MCO or PIHP for an enrollee with a short-term stay in an IMD for inpatient psychiatric or substance use disorder services of no more than 15 days within the month for which the capitation payment is made is permissible under the regulation at §438.6(e) for MCOs and PIHPs to use the IMD as a medically appropriate and cost effective alternative setting to those covered under the State plan or ABP.</t>
  </si>
  <si>
    <t>"In Lieu of" Services</t>
  </si>
  <si>
    <t>Estimated Total Expenditures for Medical Assistance Provided in an IMD that are:</t>
  </si>
  <si>
    <t>Currently State Plan FFS (e.g. Carved Out) or Not Currently State Plan but Otherwise Approvable (Including Pending SPAs)</t>
  </si>
  <si>
    <t>Capitated PMPM for Currently Approved, non-IMD, State Plan or Other Title XIX Services</t>
  </si>
  <si>
    <t>Managed Care PMPM (Replicate Column, as Necessary)</t>
  </si>
  <si>
    <t>·         For more information on "in leu of" servies, see "Medicaid and CHIP Managed Care Final Rule (CMS-2390-F) Frequently Asked Questions (FAQs) – Section 438.6(e)" (August 2017).</t>
  </si>
  <si>
    <t>·         There should also be sections/headings in the methodology document which describe all other state data inputs (see 'State Data Inputs' above).</t>
  </si>
  <si>
    <t xml:space="preserve">The 'Historical Spending Data' and/or 'Alternate PMPM Development' in the IMD Historical tab must be accompanied by a supplemental methodology and data sources document that fully describes, for each MEG, a complete break-out of all SUD, SMI and/or SED services--with descriptions of accompanying expenditures and caseloads. </t>
  </si>
  <si>
    <t xml:space="preserve">·         The President’s Budget trends should be for the eligibility groups that are participating in the IMD demonstration; most often, these will be the Current Adults, New Adults, or a blend of Current and New Adults, to determine average MA cost per user of SUD, SMI and/or SED inpatient services for each historical year.  </t>
  </si>
  <si>
    <t xml:space="preserve">States must add their data to the yellow highlighted cells for CMS review and discussion - and choose the appropriate drop-downs corresponding to their data inputs. </t>
  </si>
  <si>
    <t>·         CMS will provide template instructions with this spreadsheet.</t>
  </si>
  <si>
    <t>IMD Without Waiver</t>
  </si>
  <si>
    <t>IMD Historical</t>
  </si>
  <si>
    <t>IMD Overview</t>
  </si>
  <si>
    <t>IMD With Waiver</t>
  </si>
  <si>
    <t>IMD Summary</t>
  </si>
  <si>
    <t>IMD Caseloads</t>
  </si>
  <si>
    <t>LAST HISTORIC</t>
  </si>
  <si>
    <t>YEAR</t>
  </si>
  <si>
    <t>PB TREND</t>
  </si>
  <si>
    <t>PB Trend Rate(s) Used:</t>
  </si>
  <si>
    <t>Start DY</t>
  </si>
  <si>
    <t>Supplemetal Test #1: IMD Services Cost Limit</t>
  </si>
  <si>
    <t>IMD Services Limit</t>
  </si>
  <si>
    <t>Estimation for the IMD Services Limit</t>
  </si>
  <si>
    <t>The IMD Services Limit represents the projected cost of medical assistance during months in which Medicaid eligible are patients at the IMD.  These are the acceptable ways for the state to determine the PMPMs for the IMD Services Limit.</t>
  </si>
  <si>
    <t>·         The projected per user per month costs will become the PMPMs for the IMD Services Limit.</t>
  </si>
  <si>
    <t>·         IMD Services CNOM Limit member months can be duplicative of general comprehensive demonstration budget neutrality limit member months.</t>
  </si>
  <si>
    <t xml:space="preserve">               3.      Services provided in an IMD "in lieu of" other allowable settings are excluded from this budget neutrality test (see below).</t>
  </si>
  <si>
    <t>Unallowable Costs</t>
  </si>
  <si>
    <t xml:space="preserve">·         Room and board costs for residential treatment service providers unless they qualify as inpatient facilities under section 1905(a) of the Act.  </t>
  </si>
  <si>
    <t>In addition to other unallowable costs and caveats outlined in the STCs, the state may not receive FFP under any expenditure authority approved under this demonstration for any of the following :</t>
  </si>
  <si>
    <t xml:space="preserve">               4.      Some specific unallowable costs are detailed below (see STCs for additional exceptions and caveats).</t>
  </si>
  <si>
    <t>State Fiscal</t>
  </si>
  <si>
    <t>Calendar</t>
  </si>
  <si>
    <t>Other</t>
  </si>
  <si>
    <t>Representative Data Year:</t>
  </si>
  <si>
    <t>Type of State Years:</t>
  </si>
  <si>
    <t>Main Test: With Waiver "Coster(s)" (Amendments Only)</t>
  </si>
  <si>
    <t>Main Budget Neutrality Test (i.e. NOT Hypothetical)</t>
  </si>
  <si>
    <t>·         Costs for services provided in a nursing facility as defined in section 1919 of the Act that qualifies as an IMD. </t>
  </si>
  <si>
    <t>·         Costs for services provided to inmates of a public institution, as defined in 42 CFR 435.1010 and clause A after section 1905(a)(29), except if the individual is admitted for at least a 24 hour stay in a medical institution (see SMI/SED SMDL, p. 13  ).</t>
  </si>
  <si>
    <t>·         Costs for services provided to beneficiaries under age 21 residing  in an IMD unless the IMD meets the requirements for the “inpatient psychiatric services for individuals under age 21” benefit under 42 CFR 440.160, 441 Subpart D, and 483 Subpart G .</t>
  </si>
  <si>
    <t>Non-IMD Services CNOM Limit</t>
  </si>
  <si>
    <t>Non-Hypothetical Services CNOM MEG</t>
  </si>
  <si>
    <t>Non-IMD Services CNOM Limit MEG</t>
  </si>
  <si>
    <t>Consult the tables below for a overview of the "IMD Services Limit" and "Non-IMD Services CNOM Limit" in Scenarios 1 and 2. The tables provide basic concepts and frameworks for establishing the budget neutrality limits--and expenditure reporting requirements for monitoring.  The notes below the table provide additional information related to allowable IMD medical assistance services, estimation of the various budget neutrality limits, trend rates, "in lieu of" services and other details of estimation and expenditure reporting. For states proposing to include IMD services as a component of their broader 1115 demonstrations, the limits established in this spreadsheet--once approved by CMS--will be included in the comprehensive budget neutrality spreadsheet, STCs and expenditure monitoring tool (see State Medicaid Director Letter #18-009). The limits established may be used as an upper limit for all medical assistance services provided in an IMD--or separately tabulated by, for example, diagnosis-type (see glossary below for definition of abbreviations).</t>
  </si>
  <si>
    <t xml:space="preserve">2.      The IMD Services Limit and Non-IMD Services CNOM Limit are intended to be two distinct budget neutrality tests separately and independently enforced.  </t>
  </si>
  <si>
    <t xml:space="preserve">·         States should present their most recent represenative year of historical data on overall MA costs for individuals with a SUD, SMI and/or SED diagnosis (or proxy) who received inpatient treatment those diagnoses (or could have received inpatient treatment if such services were available), to determine projected MA cost per user of SUD, SMI and/or SED inpatient services for each historical year.  </t>
  </si>
  <si>
    <t xml:space="preserve">·         The per user per month cost(s) are then projected forward using the President’s Budget PMPM cost trend--and the projected per user per month costs will become the PMPMs for the IMD Services Limit.  </t>
  </si>
  <si>
    <t>·         If the state has an existing comprehensive Medicaid demonstration with already calculated without waiver PMPMs, CMS will incorporate the PMPMs established in this workbook.</t>
  </si>
  <si>
    <t xml:space="preserve">·         States may also "top off" IMD Services Limit PMPMs with an additional estimated amount representing any additional CNOM services that affected individuals may also receive during IMD months.  </t>
  </si>
  <si>
    <t>·         State may use Alternate PMPM Development in Historical tab for estimating expenditures (see 'Supplemental Methodology Document' requirement below).</t>
  </si>
  <si>
    <t>PMPM trend rates will generally be the smoothed trend from the most recent President’s Budget Medicaid trends and will be supplied to states by CMS.</t>
  </si>
  <si>
    <t xml:space="preserve">·         The per user per month costs are then projected forward using the President’s Budget PMPM cost trend.  </t>
  </si>
  <si>
    <t>There should be one set of MEGs for the current Medicaid state plan IMD Services Limit(s) with associated PMPMs and member months, and one for the Non-IMD Services CNOM Limit and/or Non-Hypothetical CNOM Limit, as applicable.</t>
  </si>
  <si>
    <t>·         States may also develop single, or multiple, PMPMs for SUD, SMI and/or SED.</t>
  </si>
  <si>
    <t xml:space="preserve">IMD Services Limit member month must be non-duplicative of Non-IMD Services CNOM Limit member months, and must also be non-duplicative of general comprehensive demonstration budget neutrality limit member months.  </t>
  </si>
  <si>
    <t xml:space="preserve">·         This means that month of Medicaid eligibility for an individual cannot appear as both an IMD Services Limit member month and a Non-IMD Services CNOM Limit member month; it has to be one or the other, and likewise for IMD Services Limit member month and general comprehensive demonstration budget neutrality limit member months. </t>
  </si>
  <si>
    <t>Absent 1115 Authority, Not Otherwise Eligible for FFP Under Title XIX, or "Costs Not Otherwise Matchable" ("Non-IMD" or "Non-Hypo" CNOMs)</t>
  </si>
  <si>
    <t>Supplemental Test #2: Non-IMD Services CNOM Limit</t>
  </si>
  <si>
    <t>Alternate Development: IMD Services + Non-IMD &amp; Non-Hypo CNOMs</t>
  </si>
  <si>
    <t>Adolescents - SUD</t>
  </si>
  <si>
    <t>Medicaid Adults (Non-Group VIII Adults) - SUD</t>
  </si>
  <si>
    <t>Expansion Adults (VIII Adults) - SUD</t>
  </si>
  <si>
    <t>Medicaid Adults (Non-Group VIII Adults) - SMI</t>
  </si>
  <si>
    <t>Expansion Adults (VIII Adults) - SMI</t>
  </si>
  <si>
    <t>SFY 2023</t>
  </si>
  <si>
    <t>Non-Qualified Waiver Nursing Facility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</si>
</sst>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
    <numFmt numFmtId="167" formatCode="0.0%"/>
  </numFmts>
  <fonts count="29" x14ac:knownFonts="1">
    <font>
      <sz val="11"/>
      <color theme="1"/>
      <name val="Calibri"/>
      <family val="2"/>
      <scheme val="minor"/>
    </font>
    <font>
      <sz val="11"/>
      <color theme="1"/>
      <name val="Calibri"/>
      <family val="2"/>
      <scheme val="minor"/>
    </font>
    <font>
      <sz val="11"/>
      <color rgb="FF006100"/>
      <name val="Calibri"/>
      <family val="2"/>
      <scheme val="minor"/>
    </font>
    <font>
      <b/>
      <sz val="10"/>
      <name val="Calibri Light"/>
      <family val="2"/>
    </font>
    <font>
      <b/>
      <u/>
      <sz val="10"/>
      <name val="Calibri Light"/>
      <family val="2"/>
    </font>
    <font>
      <sz val="10"/>
      <name val="Calibri Light"/>
      <family val="2"/>
    </font>
    <font>
      <sz val="10"/>
      <name val="Arial"/>
      <family val="2"/>
    </font>
    <font>
      <b/>
      <sz val="10"/>
      <name val="Calibri Light"/>
      <family val="2"/>
      <scheme val="major"/>
    </font>
    <font>
      <sz val="10"/>
      <name val="Calibri Light"/>
      <family val="2"/>
      <scheme val="major"/>
    </font>
    <font>
      <b/>
      <u/>
      <sz val="10"/>
      <name val="Calibri Light"/>
      <family val="2"/>
      <scheme val="major"/>
    </font>
    <font>
      <sz val="10"/>
      <color theme="1"/>
      <name val="Calibri Light"/>
      <family val="2"/>
      <scheme val="major"/>
    </font>
    <font>
      <b/>
      <sz val="10"/>
      <color theme="1"/>
      <name val="Calibri Light"/>
      <family val="2"/>
      <scheme val="major"/>
    </font>
    <font>
      <sz val="10"/>
      <color theme="1"/>
      <name val="Calibri Light"/>
      <family val="2"/>
    </font>
    <font>
      <u/>
      <sz val="10"/>
      <color theme="1"/>
      <name val="Calibri Light"/>
      <family val="2"/>
      <scheme val="major"/>
    </font>
    <font>
      <i/>
      <sz val="10"/>
      <color theme="1"/>
      <name val="Calibri Light"/>
      <family val="2"/>
      <scheme val="major"/>
    </font>
    <font>
      <sz val="10"/>
      <color theme="0"/>
      <name val="Calibri Light"/>
      <family val="2"/>
      <scheme val="major"/>
    </font>
    <font>
      <sz val="11"/>
      <color rgb="FF000000"/>
      <name val="Calibri"/>
      <family val="2"/>
    </font>
    <font>
      <b/>
      <u/>
      <sz val="10"/>
      <color theme="1"/>
      <name val="Calibri Light"/>
      <family val="2"/>
      <scheme val="major"/>
    </font>
    <font>
      <i/>
      <sz val="10"/>
      <name val="Calibri Light"/>
      <family val="2"/>
      <scheme val="major"/>
    </font>
    <font>
      <sz val="11"/>
      <color rgb="FF9C0006"/>
      <name val="Calibri"/>
      <family val="2"/>
      <scheme val="minor"/>
    </font>
    <font>
      <b/>
      <i/>
      <u/>
      <sz val="10"/>
      <name val="Calibri Light"/>
      <family val="2"/>
    </font>
    <font>
      <sz val="12"/>
      <color theme="1"/>
      <name val="Times New Roman"/>
      <family val="1"/>
    </font>
    <font>
      <sz val="8"/>
      <color theme="1"/>
      <name val="Times New Roman"/>
      <family val="1"/>
    </font>
    <font>
      <sz val="10"/>
      <color theme="1"/>
      <name val="Times New Roman"/>
      <family val="1"/>
    </font>
    <font>
      <b/>
      <i/>
      <u/>
      <sz val="10"/>
      <color theme="1"/>
      <name val="Calibri Light"/>
      <family val="2"/>
      <scheme val="major"/>
    </font>
    <font>
      <sz val="10"/>
      <color rgb="FFFF0000"/>
      <name val="Calibri Light"/>
      <family val="2"/>
      <scheme val="major"/>
    </font>
    <font>
      <sz val="10"/>
      <color rgb="FF0000FF"/>
      <name val="Calibri Light"/>
      <family val="2"/>
      <scheme val="major"/>
    </font>
    <font>
      <sz val="10"/>
      <color theme="5" tint="-0.499984740745262"/>
      <name val="Calibri Light"/>
      <family val="2"/>
      <scheme val="major"/>
    </font>
    <font>
      <sz val="10"/>
      <color rgb="FF00B050"/>
      <name val="Calibri Light"/>
      <family val="2"/>
      <scheme val="major"/>
    </font>
  </fonts>
  <fills count="7">
    <fill>
      <patternFill patternType="none"/>
    </fill>
    <fill>
      <patternFill patternType="gray125"/>
    </fill>
    <fill>
      <patternFill patternType="solid">
        <fgColor rgb="FFC6EFCE"/>
      </patternFill>
    </fill>
    <fill>
      <patternFill patternType="solid">
        <fgColor rgb="FFFFFFCC"/>
      </patternFill>
    </fill>
    <fill>
      <patternFill patternType="solid">
        <fgColor theme="0" tint="-0.14999847407452621"/>
        <bgColor indexed="64"/>
      </patternFill>
    </fill>
    <fill>
      <patternFill patternType="solid">
        <fgColor rgb="FFFFC7CE"/>
      </patternFill>
    </fill>
    <fill>
      <patternFill patternType="solid">
        <fgColor theme="9" tint="0.79998168889431442"/>
        <bgColor indexed="64"/>
      </patternFill>
    </fill>
  </fills>
  <borders count="73">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rgb="FFB2B2B2"/>
      </top>
      <bottom style="thin">
        <color rgb="FFB2B2B2"/>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thin">
        <color rgb="FFB2B2B2"/>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 fillId="3" borderId="1" applyNumberFormat="0" applyFont="0" applyAlignment="0" applyProtection="0"/>
    <xf numFmtId="0" fontId="6" fillId="0" borderId="0"/>
    <xf numFmtId="0" fontId="12" fillId="0" borderId="0"/>
    <xf numFmtId="0" fontId="16" fillId="0" borderId="0" applyNumberFormat="0" applyBorder="0" applyAlignment="0"/>
    <xf numFmtId="0" fontId="19" fillId="5" borderId="0" applyNumberFormat="0" applyBorder="0" applyAlignment="0" applyProtection="0"/>
  </cellStyleXfs>
  <cellXfs count="386">
    <xf numFmtId="0" fontId="0" fillId="0" borderId="0" xfId="0"/>
    <xf numFmtId="0" fontId="5" fillId="0" borderId="0" xfId="0" applyFont="1"/>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0" xfId="0" applyFont="1" applyAlignment="1">
      <alignment horizontal="center" vertical="center"/>
    </xf>
    <xf numFmtId="0" fontId="9" fillId="0" borderId="0" xfId="0" applyFont="1"/>
    <xf numFmtId="0" fontId="8" fillId="0" borderId="2" xfId="0" applyFont="1" applyBorder="1"/>
    <xf numFmtId="0" fontId="7" fillId="0" borderId="3" xfId="0" applyFont="1" applyBorder="1" applyAlignment="1">
      <alignment wrapText="1"/>
    </xf>
    <xf numFmtId="0" fontId="7" fillId="0" borderId="4" xfId="0" applyFont="1" applyBorder="1"/>
    <xf numFmtId="0" fontId="10" fillId="0" borderId="0" xfId="0" applyFont="1"/>
    <xf numFmtId="0" fontId="11" fillId="0" borderId="0" xfId="0" applyFont="1"/>
    <xf numFmtId="166" fontId="8" fillId="0" borderId="10" xfId="2" applyNumberFormat="1" applyFont="1" applyFill="1" applyBorder="1" applyAlignment="1">
      <alignment horizontal="center" vertical="center"/>
    </xf>
    <xf numFmtId="0" fontId="8" fillId="0" borderId="44" xfId="6" applyFont="1" applyBorder="1" applyAlignment="1">
      <alignment horizontal="left"/>
    </xf>
    <xf numFmtId="0" fontId="8" fillId="0" borderId="39" xfId="6" applyFont="1" applyBorder="1" applyAlignment="1">
      <alignment wrapText="1"/>
    </xf>
    <xf numFmtId="0" fontId="7" fillId="0" borderId="0" xfId="4" applyFont="1" applyFill="1" applyBorder="1" applyAlignment="1">
      <alignment horizontal="left"/>
    </xf>
    <xf numFmtId="0" fontId="8" fillId="0" borderId="0" xfId="0" applyFont="1"/>
    <xf numFmtId="0" fontId="7" fillId="0" borderId="2" xfId="0" applyFont="1" applyBorder="1"/>
    <xf numFmtId="0" fontId="7" fillId="0" borderId="5" xfId="0" applyFont="1" applyBorder="1"/>
    <xf numFmtId="0" fontId="7" fillId="0" borderId="6" xfId="0" applyFont="1" applyBorder="1"/>
    <xf numFmtId="0" fontId="11" fillId="0" borderId="0" xfId="7" applyFont="1" applyAlignment="1">
      <alignment horizontal="left"/>
    </xf>
    <xf numFmtId="0" fontId="10" fillId="0" borderId="0" xfId="7" applyFont="1" applyAlignment="1">
      <alignment horizontal="left"/>
    </xf>
    <xf numFmtId="0" fontId="10" fillId="0" borderId="0" xfId="0" applyFont="1" applyAlignment="1">
      <alignment horizontal="center"/>
    </xf>
    <xf numFmtId="0" fontId="10" fillId="0" borderId="0" xfId="0" applyFont="1" applyAlignment="1">
      <alignment horizontal="left"/>
    </xf>
    <xf numFmtId="0" fontId="7" fillId="0" borderId="0" xfId="6" applyFont="1"/>
    <xf numFmtId="0" fontId="3" fillId="0" borderId="5" xfId="0" applyFont="1" applyBorder="1" applyAlignment="1">
      <alignment wrapText="1"/>
    </xf>
    <xf numFmtId="38" fontId="4" fillId="0" borderId="0" xfId="0" applyNumberFormat="1" applyFont="1" applyAlignment="1">
      <alignment horizontal="left"/>
    </xf>
    <xf numFmtId="0" fontId="7" fillId="0" borderId="0" xfId="0" applyFont="1" applyAlignment="1">
      <alignment horizontal="center" vertical="center"/>
    </xf>
    <xf numFmtId="0" fontId="7" fillId="0" borderId="6" xfId="0" applyFont="1" applyBorder="1" applyAlignment="1">
      <alignment horizontal="center" vertical="center"/>
    </xf>
    <xf numFmtId="166" fontId="8" fillId="0" borderId="11" xfId="2" applyNumberFormat="1" applyFont="1" applyFill="1" applyBorder="1" applyAlignment="1">
      <alignment horizontal="center" vertical="center"/>
    </xf>
    <xf numFmtId="166" fontId="8" fillId="0" borderId="0" xfId="2" applyNumberFormat="1" applyFont="1" applyFill="1" applyBorder="1" applyAlignment="1">
      <alignment horizontal="center" vertical="center"/>
    </xf>
    <xf numFmtId="0" fontId="10" fillId="0" borderId="0" xfId="0" applyFont="1" applyAlignment="1">
      <alignment horizontal="center" vertical="center"/>
    </xf>
    <xf numFmtId="10" fontId="3" fillId="0" borderId="13" xfId="0" applyNumberFormat="1" applyFont="1" applyBorder="1" applyAlignment="1">
      <alignment horizontal="center" vertical="center"/>
    </xf>
    <xf numFmtId="0" fontId="3" fillId="0" borderId="8" xfId="0" applyFont="1" applyBorder="1" applyAlignment="1">
      <alignment horizontal="center" vertical="center" wrapText="1"/>
    </xf>
    <xf numFmtId="0" fontId="5" fillId="0" borderId="0" xfId="0" applyFont="1" applyAlignment="1">
      <alignment horizontal="center" vertical="center"/>
    </xf>
    <xf numFmtId="10" fontId="5" fillId="0" borderId="0" xfId="0" applyNumberFormat="1" applyFont="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wrapText="1"/>
    </xf>
    <xf numFmtId="0" fontId="7" fillId="0" borderId="14" xfId="0" applyFont="1" applyBorder="1" applyAlignment="1">
      <alignment horizontal="center" vertical="center"/>
    </xf>
    <xf numFmtId="0" fontId="7" fillId="0" borderId="6" xfId="0" applyFont="1" applyBorder="1" applyAlignment="1">
      <alignment horizontal="center" vertical="center" wrapText="1"/>
    </xf>
    <xf numFmtId="0" fontId="8" fillId="0" borderId="0" xfId="6"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3" fillId="0" borderId="16" xfId="0" applyFont="1" applyBorder="1" applyAlignment="1">
      <alignment vertical="center" wrapText="1"/>
    </xf>
    <xf numFmtId="0" fontId="13" fillId="0" borderId="11" xfId="0" applyFont="1" applyBorder="1" applyAlignment="1">
      <alignment vertical="center" wrapText="1"/>
    </xf>
    <xf numFmtId="0" fontId="10" fillId="0" borderId="11" xfId="0" applyFont="1" applyBorder="1" applyAlignment="1">
      <alignment horizontal="left" vertical="center" wrapText="1" indent="5"/>
    </xf>
    <xf numFmtId="0" fontId="10" fillId="0" borderId="12" xfId="0" applyFont="1" applyBorder="1" applyAlignment="1">
      <alignment horizontal="left" vertical="center" wrapText="1" indent="5"/>
    </xf>
    <xf numFmtId="0" fontId="10" fillId="0" borderId="11" xfId="0" applyFont="1" applyBorder="1" applyAlignment="1">
      <alignment vertical="center" wrapText="1"/>
    </xf>
    <xf numFmtId="0" fontId="10" fillId="0" borderId="0" xfId="0" applyFont="1" applyAlignment="1">
      <alignment vertical="center"/>
    </xf>
    <xf numFmtId="0" fontId="10" fillId="0" borderId="0" xfId="0" applyFont="1" applyAlignment="1">
      <alignment horizontal="left" vertical="center" indent="5"/>
    </xf>
    <xf numFmtId="0" fontId="10" fillId="0" borderId="0" xfId="0" applyFont="1" applyAlignment="1">
      <alignment horizontal="left" vertical="center"/>
    </xf>
    <xf numFmtId="38" fontId="11" fillId="0" borderId="44" xfId="7" applyNumberFormat="1" applyFont="1" applyBorder="1" applyAlignment="1">
      <alignment horizontal="left" wrapText="1"/>
    </xf>
    <xf numFmtId="38" fontId="11" fillId="0" borderId="39" xfId="7" applyNumberFormat="1" applyFont="1" applyBorder="1" applyAlignment="1">
      <alignment horizontal="left" wrapText="1"/>
    </xf>
    <xf numFmtId="38" fontId="11" fillId="0" borderId="45" xfId="7" applyNumberFormat="1" applyFont="1" applyBorder="1" applyAlignment="1">
      <alignment horizontal="left"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vertical="center"/>
    </xf>
    <xf numFmtId="0" fontId="7" fillId="0" borderId="3" xfId="0" applyFont="1" applyBorder="1"/>
    <xf numFmtId="0" fontId="9" fillId="0" borderId="3" xfId="0" applyFont="1" applyBorder="1"/>
    <xf numFmtId="0" fontId="7" fillId="0" borderId="11" xfId="0" applyFont="1" applyBorder="1" applyAlignment="1">
      <alignment vertical="center" wrapText="1"/>
    </xf>
    <xf numFmtId="0" fontId="11" fillId="0" borderId="10" xfId="0" applyFont="1" applyBorder="1" applyAlignment="1">
      <alignment horizontal="center" vertical="center" wrapText="1"/>
    </xf>
    <xf numFmtId="0" fontId="11" fillId="0" borderId="47" xfId="7" applyFont="1" applyBorder="1" applyAlignment="1">
      <alignment horizontal="center" vertical="center" wrapText="1"/>
    </xf>
    <xf numFmtId="0" fontId="11" fillId="0" borderId="43" xfId="7" applyFont="1" applyBorder="1" applyAlignment="1">
      <alignment horizontal="center" vertical="center" wrapText="1"/>
    </xf>
    <xf numFmtId="0" fontId="11" fillId="0" borderId="52" xfId="7"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wrapText="1"/>
    </xf>
    <xf numFmtId="166" fontId="10" fillId="0" borderId="0" xfId="0" applyNumberFormat="1" applyFont="1" applyAlignment="1">
      <alignment horizontal="center" vertical="center"/>
    </xf>
    <xf numFmtId="0" fontId="11" fillId="0" borderId="3" xfId="0" applyFont="1" applyBorder="1"/>
    <xf numFmtId="0" fontId="11" fillId="0" borderId="16" xfId="0" applyFont="1" applyBorder="1" applyAlignment="1">
      <alignment horizontal="center" vertical="center" wrapText="1"/>
    </xf>
    <xf numFmtId="165" fontId="10" fillId="0" borderId="0" xfId="2" applyNumberFormat="1" applyFont="1" applyFill="1" applyAlignment="1">
      <alignment horizontal="center" vertical="center"/>
    </xf>
    <xf numFmtId="165" fontId="11" fillId="0" borderId="32" xfId="0" applyNumberFormat="1" applyFont="1" applyBorder="1" applyAlignment="1">
      <alignment horizontal="center" vertical="center"/>
    </xf>
    <xf numFmtId="165" fontId="11" fillId="0" borderId="33" xfId="0" applyNumberFormat="1" applyFont="1" applyBorder="1" applyAlignment="1">
      <alignment horizontal="center" vertical="center"/>
    </xf>
    <xf numFmtId="165" fontId="11" fillId="0" borderId="34" xfId="0" applyNumberFormat="1" applyFont="1" applyBorder="1" applyAlignment="1">
      <alignment horizontal="center" vertical="center"/>
    </xf>
    <xf numFmtId="0" fontId="3" fillId="0" borderId="0" xfId="0" applyFont="1" applyAlignment="1">
      <alignment wrapText="1"/>
    </xf>
    <xf numFmtId="0" fontId="3" fillId="0" borderId="0" xfId="0" applyFont="1" applyAlignment="1">
      <alignment horizontal="center" vertical="center" wrapText="1"/>
    </xf>
    <xf numFmtId="166" fontId="8" fillId="0" borderId="20" xfId="2" applyNumberFormat="1" applyFont="1" applyFill="1" applyBorder="1" applyAlignment="1">
      <alignment horizontal="center" vertical="center"/>
    </xf>
    <xf numFmtId="0" fontId="11" fillId="0" borderId="6" xfId="0" applyFont="1" applyBorder="1"/>
    <xf numFmtId="10" fontId="3" fillId="0" borderId="0" xfId="0" applyNumberFormat="1" applyFont="1" applyAlignment="1">
      <alignment horizontal="center" vertical="center" wrapText="1"/>
    </xf>
    <xf numFmtId="0" fontId="3" fillId="0" borderId="0" xfId="0" applyFont="1" applyAlignment="1">
      <alignment horizontal="center" vertical="center"/>
    </xf>
    <xf numFmtId="0" fontId="8" fillId="0" borderId="19" xfId="0" applyFont="1" applyBorder="1" applyAlignment="1">
      <alignment wrapText="1" shrinkToFit="1"/>
    </xf>
    <xf numFmtId="0" fontId="8" fillId="0" borderId="22" xfId="0" applyFont="1" applyBorder="1" applyAlignment="1">
      <alignment wrapText="1"/>
    </xf>
    <xf numFmtId="0" fontId="8" fillId="0" borderId="28" xfId="0" applyFont="1" applyBorder="1" applyAlignment="1">
      <alignment wrapText="1"/>
    </xf>
    <xf numFmtId="1" fontId="8" fillId="0" borderId="19" xfId="1" applyNumberFormat="1" applyFont="1" applyFill="1" applyBorder="1" applyAlignment="1" applyProtection="1">
      <alignment horizontal="center" vertical="center"/>
      <protection locked="0"/>
    </xf>
    <xf numFmtId="166" fontId="8" fillId="0" borderId="28" xfId="0" applyNumberFormat="1" applyFont="1" applyBorder="1" applyAlignment="1">
      <alignment horizontal="center" vertical="center"/>
    </xf>
    <xf numFmtId="0" fontId="8" fillId="0" borderId="28" xfId="0" applyFont="1" applyBorder="1" applyAlignment="1">
      <alignment horizontal="center" vertical="center"/>
    </xf>
    <xf numFmtId="164" fontId="8" fillId="0" borderId="19" xfId="2" applyNumberFormat="1" applyFont="1" applyBorder="1" applyAlignment="1">
      <alignment horizontal="center" vertical="center"/>
    </xf>
    <xf numFmtId="166" fontId="8" fillId="0" borderId="21" xfId="2" applyNumberFormat="1" applyFont="1" applyFill="1" applyBorder="1" applyAlignment="1">
      <alignment horizontal="center" vertical="center"/>
    </xf>
    <xf numFmtId="166" fontId="8" fillId="0" borderId="30" xfId="2" applyNumberFormat="1" applyFont="1" applyFill="1" applyBorder="1" applyAlignment="1">
      <alignment horizontal="center" vertical="center"/>
    </xf>
    <xf numFmtId="167" fontId="8" fillId="0" borderId="19" xfId="3" applyNumberFormat="1" applyFont="1" applyFill="1" applyBorder="1" applyAlignment="1">
      <alignment horizontal="center" vertical="center"/>
    </xf>
    <xf numFmtId="167" fontId="8" fillId="0" borderId="22" xfId="3" applyNumberFormat="1" applyFont="1" applyFill="1" applyBorder="1" applyAlignment="1">
      <alignment horizontal="center" vertical="center"/>
    </xf>
    <xf numFmtId="0" fontId="8" fillId="0" borderId="19" xfId="0" applyFont="1" applyBorder="1" applyAlignment="1" applyProtection="1">
      <alignment horizontal="center" vertical="center"/>
      <protection locked="0"/>
    </xf>
    <xf numFmtId="0" fontId="8" fillId="0" borderId="22" xfId="4" applyFont="1" applyFill="1" applyBorder="1"/>
    <xf numFmtId="166" fontId="8" fillId="0" borderId="22" xfId="2" applyNumberFormat="1" applyFont="1" applyFill="1" applyBorder="1" applyAlignment="1">
      <alignment horizontal="center" vertical="center"/>
    </xf>
    <xf numFmtId="0" fontId="7" fillId="0" borderId="4" xfId="0" applyFont="1" applyBorder="1" applyAlignment="1">
      <alignment vertical="center" wrapText="1"/>
    </xf>
    <xf numFmtId="166" fontId="8" fillId="0" borderId="33" xfId="2" applyNumberFormat="1" applyFont="1" applyFill="1" applyBorder="1" applyAlignment="1">
      <alignment horizontal="center" vertical="center"/>
    </xf>
    <xf numFmtId="166" fontId="8" fillId="0" borderId="55" xfId="2" applyNumberFormat="1" applyFont="1" applyFill="1" applyBorder="1" applyAlignment="1">
      <alignment horizontal="center" vertical="center"/>
    </xf>
    <xf numFmtId="166" fontId="8" fillId="0" borderId="57" xfId="2" applyNumberFormat="1" applyFont="1" applyFill="1" applyBorder="1" applyAlignment="1">
      <alignment horizontal="center" vertical="center"/>
    </xf>
    <xf numFmtId="166" fontId="8" fillId="0" borderId="54" xfId="2" applyNumberFormat="1" applyFont="1" applyFill="1" applyBorder="1" applyAlignment="1">
      <alignment horizontal="center" vertical="center"/>
    </xf>
    <xf numFmtId="166" fontId="8" fillId="0" borderId="58" xfId="2" applyNumberFormat="1" applyFont="1" applyFill="1" applyBorder="1" applyAlignment="1">
      <alignment horizontal="center" vertical="center"/>
    </xf>
    <xf numFmtId="166" fontId="7" fillId="0" borderId="10" xfId="2" applyNumberFormat="1" applyFont="1" applyFill="1" applyBorder="1" applyAlignment="1">
      <alignment horizontal="center" vertical="center"/>
    </xf>
    <xf numFmtId="0" fontId="7" fillId="0" borderId="2" xfId="0" applyFont="1" applyBorder="1" applyAlignment="1">
      <alignment wrapText="1"/>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166" fontId="8" fillId="0" borderId="32" xfId="2" applyNumberFormat="1" applyFont="1" applyFill="1" applyBorder="1" applyAlignment="1">
      <alignment horizontal="center" vertical="center"/>
    </xf>
    <xf numFmtId="166" fontId="8" fillId="0" borderId="34" xfId="2" applyNumberFormat="1" applyFont="1" applyFill="1" applyBorder="1" applyAlignment="1">
      <alignment horizontal="center" vertical="center"/>
    </xf>
    <xf numFmtId="0" fontId="11" fillId="0" borderId="13" xfId="0" applyFont="1" applyBorder="1"/>
    <xf numFmtId="0" fontId="14" fillId="3" borderId="19" xfId="5" applyFont="1" applyBorder="1"/>
    <xf numFmtId="0" fontId="14" fillId="3" borderId="22" xfId="5" applyFont="1" applyBorder="1"/>
    <xf numFmtId="0" fontId="14" fillId="3" borderId="28" xfId="5" applyFont="1" applyBorder="1"/>
    <xf numFmtId="0" fontId="11" fillId="0" borderId="4" xfId="0" applyFont="1" applyBorder="1" applyAlignment="1">
      <alignment vertical="center"/>
    </xf>
    <xf numFmtId="0" fontId="7" fillId="0" borderId="0" xfId="4" applyFont="1" applyFill="1" applyBorder="1" applyAlignment="1">
      <alignment horizontal="center" vertical="center"/>
    </xf>
    <xf numFmtId="3" fontId="8" fillId="0" borderId="29" xfId="1" applyNumberFormat="1" applyFont="1" applyFill="1" applyBorder="1" applyAlignment="1">
      <alignment horizontal="center" vertical="center"/>
    </xf>
    <xf numFmtId="3" fontId="8" fillId="0" borderId="17" xfId="1" applyNumberFormat="1" applyFont="1" applyFill="1" applyBorder="1" applyAlignment="1">
      <alignment horizontal="center" vertical="center"/>
    </xf>
    <xf numFmtId="3" fontId="8" fillId="0" borderId="18" xfId="1" applyNumberFormat="1" applyFont="1" applyFill="1" applyBorder="1" applyAlignment="1">
      <alignment horizontal="center" vertical="center"/>
    </xf>
    <xf numFmtId="3" fontId="8" fillId="0" borderId="29" xfId="1" applyNumberFormat="1" applyFont="1" applyFill="1" applyBorder="1" applyAlignment="1" applyProtection="1">
      <alignment horizontal="center" vertical="center"/>
      <protection locked="0"/>
    </xf>
    <xf numFmtId="3" fontId="8" fillId="0" borderId="17" xfId="1" applyNumberFormat="1" applyFont="1" applyFill="1" applyBorder="1" applyAlignment="1" applyProtection="1">
      <alignment horizontal="center" vertical="center"/>
      <protection locked="0"/>
    </xf>
    <xf numFmtId="3" fontId="8" fillId="0" borderId="18" xfId="1" applyNumberFormat="1" applyFont="1" applyFill="1" applyBorder="1" applyAlignment="1" applyProtection="1">
      <alignment horizontal="center" vertical="center"/>
      <protection locked="0"/>
    </xf>
    <xf numFmtId="0" fontId="8" fillId="0" borderId="0" xfId="6" applyFont="1" applyAlignment="1">
      <alignment horizontal="left" wrapText="1"/>
    </xf>
    <xf numFmtId="10" fontId="8" fillId="0" borderId="0" xfId="4" applyNumberFormat="1" applyFont="1" applyFill="1" applyBorder="1" applyAlignment="1">
      <alignment horizontal="center" vertical="center"/>
    </xf>
    <xf numFmtId="0" fontId="8" fillId="0" borderId="0" xfId="0" applyFont="1" applyAlignment="1">
      <alignment wrapText="1"/>
    </xf>
    <xf numFmtId="166" fontId="8" fillId="0" borderId="0" xfId="2" applyNumberFormat="1" applyFont="1" applyBorder="1" applyAlignment="1">
      <alignment horizontal="center" vertical="center"/>
    </xf>
    <xf numFmtId="166" fontId="8" fillId="0" borderId="0" xfId="0" applyNumberFormat="1" applyFont="1" applyAlignment="1">
      <alignment horizontal="center" vertical="center"/>
    </xf>
    <xf numFmtId="0" fontId="8" fillId="0" borderId="39" xfId="0" applyFont="1" applyBorder="1"/>
    <xf numFmtId="166" fontId="8" fillId="0" borderId="17" xfId="2" applyNumberFormat="1" applyFont="1" applyFill="1" applyBorder="1" applyAlignment="1">
      <alignment horizontal="center" vertical="center"/>
    </xf>
    <xf numFmtId="166" fontId="8" fillId="0" borderId="18" xfId="2" applyNumberFormat="1" applyFont="1" applyFill="1" applyBorder="1" applyAlignment="1">
      <alignment horizontal="center" vertical="center"/>
    </xf>
    <xf numFmtId="166" fontId="8" fillId="0" borderId="19" xfId="2" applyNumberFormat="1" applyFont="1" applyFill="1" applyBorder="1" applyAlignment="1">
      <alignment horizontal="center" vertical="center"/>
    </xf>
    <xf numFmtId="0" fontId="11" fillId="0" borderId="7" xfId="0" applyFont="1" applyBorder="1" applyAlignment="1">
      <alignment horizontal="center" vertical="center" wrapText="1"/>
    </xf>
    <xf numFmtId="166" fontId="10" fillId="0" borderId="5" xfId="0" applyNumberFormat="1" applyFont="1" applyBorder="1" applyAlignment="1">
      <alignment horizontal="center" vertical="center"/>
    </xf>
    <xf numFmtId="0" fontId="11" fillId="0" borderId="4" xfId="0" applyFont="1" applyBorder="1" applyAlignment="1">
      <alignment horizontal="center" vertical="center" wrapText="1"/>
    </xf>
    <xf numFmtId="1" fontId="10" fillId="3" borderId="44" xfId="5" applyNumberFormat="1" applyFont="1" applyBorder="1" applyAlignment="1">
      <alignment horizontal="center" vertical="center"/>
    </xf>
    <xf numFmtId="1" fontId="10" fillId="3" borderId="39" xfId="5" applyNumberFormat="1" applyFont="1" applyBorder="1" applyAlignment="1">
      <alignment horizontal="center" vertical="center"/>
    </xf>
    <xf numFmtId="1" fontId="10" fillId="3" borderId="45" xfId="5" applyNumberFormat="1" applyFont="1" applyBorder="1" applyAlignment="1">
      <alignment horizontal="center" vertical="center"/>
    </xf>
    <xf numFmtId="38" fontId="11" fillId="0" borderId="16" xfId="0" applyNumberFormat="1" applyFont="1" applyBorder="1" applyAlignment="1">
      <alignment horizontal="center" vertical="center" wrapText="1"/>
    </xf>
    <xf numFmtId="0" fontId="11" fillId="0" borderId="15" xfId="0" applyFont="1" applyBorder="1"/>
    <xf numFmtId="1" fontId="10" fillId="3" borderId="19" xfId="5" applyNumberFormat="1" applyFont="1" applyBorder="1" applyAlignment="1">
      <alignment horizontal="center" vertical="center"/>
    </xf>
    <xf numFmtId="1" fontId="10" fillId="3" borderId="22" xfId="5" applyNumberFormat="1" applyFont="1" applyBorder="1" applyAlignment="1">
      <alignment horizontal="center" vertical="center"/>
    </xf>
    <xf numFmtId="1" fontId="10" fillId="3" borderId="28" xfId="5" applyNumberFormat="1" applyFont="1" applyBorder="1" applyAlignment="1">
      <alignment horizontal="center" vertical="center"/>
    </xf>
    <xf numFmtId="166" fontId="10" fillId="0" borderId="14" xfId="0" applyNumberFormat="1" applyFont="1" applyBorder="1" applyAlignment="1">
      <alignment horizontal="center" vertical="center"/>
    </xf>
    <xf numFmtId="165" fontId="11" fillId="0" borderId="16" xfId="0" applyNumberFormat="1" applyFont="1" applyBorder="1" applyAlignment="1">
      <alignment horizontal="center" vertical="center"/>
    </xf>
    <xf numFmtId="1" fontId="8" fillId="0" borderId="44" xfId="1" applyNumberFormat="1" applyFont="1" applyFill="1" applyBorder="1" applyAlignment="1" applyProtection="1">
      <alignment horizontal="center" vertical="center"/>
      <protection locked="0"/>
    </xf>
    <xf numFmtId="166" fontId="8" fillId="0" borderId="45" xfId="0" applyNumberFormat="1" applyFont="1" applyBorder="1" applyAlignment="1">
      <alignment horizontal="center" vertical="center"/>
    </xf>
    <xf numFmtId="3" fontId="8" fillId="0" borderId="35" xfId="1" applyNumberFormat="1" applyFont="1" applyFill="1" applyBorder="1" applyAlignment="1" applyProtection="1">
      <alignment horizontal="center" vertical="center"/>
      <protection locked="0"/>
    </xf>
    <xf numFmtId="165" fontId="11" fillId="0" borderId="7" xfId="0" applyNumberFormat="1" applyFont="1" applyBorder="1" applyAlignment="1">
      <alignment horizontal="center" vertical="center"/>
    </xf>
    <xf numFmtId="0" fontId="7" fillId="0" borderId="0" xfId="4" applyFont="1" applyFill="1" applyBorder="1" applyAlignment="1">
      <alignment vertical="center"/>
    </xf>
    <xf numFmtId="0" fontId="17" fillId="0" borderId="0" xfId="0" applyFont="1"/>
    <xf numFmtId="166" fontId="8" fillId="0" borderId="16" xfId="2" applyNumberFormat="1" applyFont="1" applyFill="1" applyBorder="1" applyAlignment="1">
      <alignment horizontal="center" vertical="center"/>
    </xf>
    <xf numFmtId="38" fontId="17" fillId="0" borderId="0" xfId="0" applyNumberFormat="1" applyFont="1"/>
    <xf numFmtId="0" fontId="11" fillId="0" borderId="33" xfId="0" applyFont="1" applyBorder="1" applyAlignment="1">
      <alignment horizontal="center" vertical="center"/>
    </xf>
    <xf numFmtId="0" fontId="11" fillId="0" borderId="16" xfId="0" applyFont="1" applyBorder="1"/>
    <xf numFmtId="0" fontId="11" fillId="0" borderId="56" xfId="0" applyFont="1" applyBorder="1" applyAlignment="1">
      <alignment horizontal="center" vertical="center"/>
    </xf>
    <xf numFmtId="38" fontId="17" fillId="0" borderId="13" xfId="0" applyNumberFormat="1" applyFont="1" applyBorder="1"/>
    <xf numFmtId="166" fontId="11" fillId="0" borderId="16" xfId="2" applyNumberFormat="1" applyFont="1" applyBorder="1" applyAlignment="1">
      <alignment horizontal="center" vertical="center"/>
    </xf>
    <xf numFmtId="0" fontId="11" fillId="0" borderId="42" xfId="0" applyFont="1" applyBorder="1" applyAlignment="1">
      <alignment horizontal="center" vertical="center"/>
    </xf>
    <xf numFmtId="38" fontId="17" fillId="0" borderId="15" xfId="0" applyNumberFormat="1" applyFont="1" applyBorder="1"/>
    <xf numFmtId="166" fontId="10" fillId="0" borderId="59" xfId="2" applyNumberFormat="1" applyFont="1" applyBorder="1" applyAlignment="1">
      <alignment horizontal="center" vertical="center"/>
    </xf>
    <xf numFmtId="166" fontId="10" fillId="0" borderId="43" xfId="2" applyNumberFormat="1" applyFont="1" applyBorder="1" applyAlignment="1">
      <alignment horizontal="center" vertical="center"/>
    </xf>
    <xf numFmtId="166" fontId="10" fillId="0" borderId="50" xfId="2" applyNumberFormat="1" applyFont="1" applyBorder="1" applyAlignment="1">
      <alignment horizontal="center" vertical="center"/>
    </xf>
    <xf numFmtId="166" fontId="10" fillId="0" borderId="7" xfId="0" applyNumberFormat="1" applyFont="1" applyBorder="1" applyAlignment="1">
      <alignment horizontal="center"/>
    </xf>
    <xf numFmtId="38" fontId="10" fillId="0" borderId="15" xfId="0" applyNumberFormat="1" applyFont="1" applyBorder="1"/>
    <xf numFmtId="166" fontId="10" fillId="0" borderId="15" xfId="0" applyNumberFormat="1" applyFont="1" applyBorder="1" applyAlignment="1">
      <alignment horizontal="center" vertical="center"/>
    </xf>
    <xf numFmtId="38" fontId="10" fillId="0" borderId="17" xfId="5" applyNumberFormat="1" applyFont="1" applyFill="1" applyBorder="1" applyAlignment="1">
      <alignment horizontal="center" vertical="center"/>
    </xf>
    <xf numFmtId="38" fontId="10" fillId="0" borderId="36" xfId="5" applyNumberFormat="1" applyFont="1" applyFill="1" applyBorder="1" applyAlignment="1">
      <alignment horizontal="center" vertical="center"/>
    </xf>
    <xf numFmtId="38" fontId="10" fillId="0" borderId="20" xfId="5" applyNumberFormat="1" applyFont="1" applyFill="1" applyBorder="1" applyAlignment="1">
      <alignment horizontal="center" vertical="center"/>
    </xf>
    <xf numFmtId="38" fontId="10" fillId="0" borderId="38" xfId="5" applyNumberFormat="1" applyFont="1" applyFill="1" applyBorder="1" applyAlignment="1">
      <alignment horizontal="center" vertical="center"/>
    </xf>
    <xf numFmtId="38" fontId="10" fillId="0" borderId="26" xfId="5" applyNumberFormat="1" applyFont="1" applyFill="1" applyBorder="1" applyAlignment="1">
      <alignment horizontal="center" vertical="center"/>
    </xf>
    <xf numFmtId="38" fontId="10" fillId="0" borderId="41" xfId="5" applyNumberFormat="1" applyFont="1" applyFill="1" applyBorder="1" applyAlignment="1">
      <alignment horizontal="center" vertical="center"/>
    </xf>
    <xf numFmtId="0" fontId="11" fillId="0" borderId="2" xfId="7" applyFont="1" applyBorder="1" applyAlignment="1">
      <alignment horizontal="center" vertical="center" wrapText="1"/>
    </xf>
    <xf numFmtId="38" fontId="10" fillId="0" borderId="35" xfId="5" applyNumberFormat="1" applyFont="1" applyFill="1" applyBorder="1" applyAlignment="1">
      <alignment horizontal="center" vertical="center"/>
    </xf>
    <xf numFmtId="38" fontId="10" fillId="0" borderId="37" xfId="5" applyNumberFormat="1" applyFont="1" applyFill="1" applyBorder="1" applyAlignment="1">
      <alignment horizontal="center" vertical="center"/>
    </xf>
    <xf numFmtId="38" fontId="10" fillId="0" borderId="40" xfId="5" applyNumberFormat="1" applyFont="1" applyFill="1" applyBorder="1" applyAlignment="1">
      <alignment horizontal="center" vertical="center"/>
    </xf>
    <xf numFmtId="0" fontId="15" fillId="0" borderId="0" xfId="0" applyFont="1" applyAlignment="1">
      <alignment horizontal="center" vertical="center"/>
    </xf>
    <xf numFmtId="0" fontId="8" fillId="3" borderId="61" xfId="5" applyFont="1" applyBorder="1" applyAlignment="1">
      <alignment horizontal="center" vertical="center"/>
    </xf>
    <xf numFmtId="0" fontId="7" fillId="0" borderId="0" xfId="0" applyFont="1"/>
    <xf numFmtId="38" fontId="10" fillId="3" borderId="24" xfId="5" applyNumberFormat="1" applyFont="1" applyBorder="1" applyAlignment="1">
      <alignment horizontal="center" vertical="center"/>
    </xf>
    <xf numFmtId="38" fontId="10" fillId="3" borderId="48" xfId="5" applyNumberFormat="1" applyFont="1" applyBorder="1" applyAlignment="1">
      <alignment horizontal="center" vertical="center"/>
    </xf>
    <xf numFmtId="0" fontId="11" fillId="0" borderId="13" xfId="7" applyFont="1" applyBorder="1" applyAlignment="1">
      <alignment horizontal="center"/>
    </xf>
    <xf numFmtId="167" fontId="10" fillId="3" borderId="22" xfId="5" applyNumberFormat="1" applyFont="1" applyBorder="1" applyAlignment="1">
      <alignment horizontal="center" vertical="center"/>
    </xf>
    <xf numFmtId="167" fontId="10" fillId="3" borderId="28" xfId="5" applyNumberFormat="1" applyFont="1" applyBorder="1" applyAlignment="1">
      <alignment horizontal="center" vertical="center"/>
    </xf>
    <xf numFmtId="165" fontId="10" fillId="3" borderId="16" xfId="5" applyNumberFormat="1" applyFont="1" applyBorder="1" applyAlignment="1">
      <alignment horizontal="center" vertical="center"/>
    </xf>
    <xf numFmtId="0" fontId="3" fillId="0" borderId="2" xfId="0" applyFont="1" applyBorder="1"/>
    <xf numFmtId="1" fontId="15" fillId="0" borderId="0" xfId="0" applyNumberFormat="1" applyFont="1" applyAlignment="1">
      <alignment horizontal="center" vertical="center"/>
    </xf>
    <xf numFmtId="0" fontId="11" fillId="0" borderId="34" xfId="0" applyFont="1" applyBorder="1" applyAlignment="1">
      <alignment horizontal="center" vertical="center"/>
    </xf>
    <xf numFmtId="0" fontId="14" fillId="0" borderId="0" xfId="0" applyFont="1"/>
    <xf numFmtId="166" fontId="10" fillId="0" borderId="54" xfId="0" applyNumberFormat="1" applyFont="1" applyBorder="1" applyAlignment="1">
      <alignment horizontal="center" vertical="center"/>
    </xf>
    <xf numFmtId="166" fontId="10" fillId="0" borderId="62" xfId="0" applyNumberFormat="1" applyFont="1" applyBorder="1" applyAlignment="1">
      <alignment horizontal="center" vertical="center"/>
    </xf>
    <xf numFmtId="166" fontId="10" fillId="0" borderId="20" xfId="0" applyNumberFormat="1" applyFont="1" applyBorder="1" applyAlignment="1">
      <alignment horizontal="center" vertical="center"/>
    </xf>
    <xf numFmtId="166" fontId="10" fillId="0" borderId="38" xfId="0" applyNumberFormat="1" applyFont="1" applyBorder="1" applyAlignment="1">
      <alignment horizontal="center" vertical="center"/>
    </xf>
    <xf numFmtId="166" fontId="10" fillId="0" borderId="26" xfId="0" applyNumberFormat="1" applyFont="1" applyBorder="1" applyAlignment="1">
      <alignment horizontal="center" vertical="center"/>
    </xf>
    <xf numFmtId="166" fontId="10" fillId="0" borderId="41" xfId="0" applyNumberFormat="1" applyFont="1" applyBorder="1" applyAlignment="1">
      <alignment horizontal="center" vertical="center"/>
    </xf>
    <xf numFmtId="0" fontId="7" fillId="0" borderId="0" xfId="0" applyFont="1" applyAlignment="1">
      <alignment horizontal="left" vertical="center"/>
    </xf>
    <xf numFmtId="0" fontId="7" fillId="0" borderId="8" xfId="0" applyFont="1" applyBorder="1"/>
    <xf numFmtId="167" fontId="8" fillId="0" borderId="22" xfId="2" applyNumberFormat="1" applyFont="1" applyFill="1" applyBorder="1" applyAlignment="1" applyProtection="1">
      <alignment horizontal="center" vertical="center"/>
      <protection locked="0"/>
    </xf>
    <xf numFmtId="167" fontId="8" fillId="0" borderId="39" xfId="2" applyNumberFormat="1" applyFont="1" applyFill="1" applyBorder="1" applyAlignment="1" applyProtection="1">
      <alignment horizontal="center" vertical="center"/>
      <protection locked="0"/>
    </xf>
    <xf numFmtId="166" fontId="8" fillId="0" borderId="9" xfId="2" applyNumberFormat="1" applyFont="1" applyFill="1" applyBorder="1" applyAlignment="1">
      <alignment horizontal="center" vertical="center"/>
    </xf>
    <xf numFmtId="0" fontId="7" fillId="0" borderId="47" xfId="0" applyFont="1" applyBorder="1" applyAlignment="1">
      <alignment horizontal="center" vertical="center"/>
    </xf>
    <xf numFmtId="0" fontId="7" fillId="0" borderId="43" xfId="0" applyFont="1" applyBorder="1" applyAlignment="1">
      <alignment horizontal="center" vertical="center"/>
    </xf>
    <xf numFmtId="0" fontId="7" fillId="0" borderId="52" xfId="0" applyFont="1" applyBorder="1" applyAlignment="1">
      <alignment horizontal="center" vertical="center"/>
    </xf>
    <xf numFmtId="166" fontId="8" fillId="0" borderId="63" xfId="2" applyNumberFormat="1" applyFont="1" applyFill="1" applyBorder="1" applyAlignment="1">
      <alignment horizontal="center" vertical="center"/>
    </xf>
    <xf numFmtId="166" fontId="8" fillId="0" borderId="64" xfId="2" applyNumberFormat="1" applyFont="1" applyFill="1" applyBorder="1" applyAlignment="1">
      <alignment horizontal="center" vertical="center"/>
    </xf>
    <xf numFmtId="166" fontId="8" fillId="0" borderId="65" xfId="2" applyNumberFormat="1" applyFont="1" applyFill="1" applyBorder="1" applyAlignment="1">
      <alignment horizontal="center" vertical="center"/>
    </xf>
    <xf numFmtId="3" fontId="8" fillId="0" borderId="0" xfId="1" applyNumberFormat="1" applyFont="1" applyFill="1" applyBorder="1" applyAlignment="1" applyProtection="1">
      <alignment horizontal="center" vertical="center"/>
      <protection locked="0"/>
    </xf>
    <xf numFmtId="166" fontId="8" fillId="0" borderId="15" xfId="2" applyNumberFormat="1" applyFont="1" applyFill="1" applyBorder="1" applyAlignment="1">
      <alignment horizontal="center" vertical="center"/>
    </xf>
    <xf numFmtId="166" fontId="10" fillId="0" borderId="31" xfId="0" applyNumberFormat="1" applyFont="1" applyBorder="1" applyAlignment="1">
      <alignment horizontal="center" vertical="center"/>
    </xf>
    <xf numFmtId="166" fontId="10" fillId="0" borderId="51" xfId="0" applyNumberFormat="1" applyFont="1" applyBorder="1" applyAlignment="1">
      <alignment horizontal="center" vertical="center"/>
    </xf>
    <xf numFmtId="166" fontId="8" fillId="0" borderId="31" xfId="2" applyNumberFormat="1" applyFont="1" applyFill="1" applyBorder="1" applyAlignment="1">
      <alignment horizontal="center" vertical="center"/>
    </xf>
    <xf numFmtId="166" fontId="8" fillId="0" borderId="66" xfId="2" applyNumberFormat="1" applyFont="1" applyFill="1" applyBorder="1" applyAlignment="1">
      <alignment horizontal="center" vertical="center"/>
    </xf>
    <xf numFmtId="166" fontId="8" fillId="0" borderId="67" xfId="2" applyNumberFormat="1" applyFont="1" applyFill="1" applyBorder="1" applyAlignment="1">
      <alignment horizontal="center" vertical="center"/>
    </xf>
    <xf numFmtId="0" fontId="7" fillId="0" borderId="56" xfId="0" applyFont="1" applyBorder="1" applyAlignment="1">
      <alignment horizontal="center" vertical="center"/>
    </xf>
    <xf numFmtId="166" fontId="8" fillId="0" borderId="29" xfId="2" applyNumberFormat="1" applyFont="1" applyFill="1" applyBorder="1" applyAlignment="1">
      <alignment horizontal="center" vertical="center"/>
    </xf>
    <xf numFmtId="166" fontId="8" fillId="0" borderId="68" xfId="2" applyNumberFormat="1" applyFont="1" applyFill="1" applyBorder="1" applyAlignment="1">
      <alignment horizontal="center" vertical="center"/>
    </xf>
    <xf numFmtId="0" fontId="14" fillId="0" borderId="30" xfId="0" applyFont="1" applyBorder="1"/>
    <xf numFmtId="166" fontId="8" fillId="0" borderId="69" xfId="2" applyNumberFormat="1" applyFont="1" applyFill="1" applyBorder="1" applyAlignment="1">
      <alignment horizontal="center" vertical="center"/>
    </xf>
    <xf numFmtId="0" fontId="8" fillId="0" borderId="13" xfId="0" applyFont="1" applyBorder="1"/>
    <xf numFmtId="0" fontId="7" fillId="0" borderId="15" xfId="0" applyFont="1" applyBorder="1" applyAlignment="1">
      <alignment wrapText="1"/>
    </xf>
    <xf numFmtId="0" fontId="8" fillId="0" borderId="22" xfId="0" applyFont="1" applyBorder="1"/>
    <xf numFmtId="0" fontId="8" fillId="0" borderId="55" xfId="0" applyFont="1" applyBorder="1"/>
    <xf numFmtId="0" fontId="14" fillId="0" borderId="22" xfId="0" applyFont="1" applyBorder="1"/>
    <xf numFmtId="0" fontId="7" fillId="0" borderId="14" xfId="0" applyFont="1" applyBorder="1"/>
    <xf numFmtId="0" fontId="7" fillId="0" borderId="13" xfId="0" applyFont="1" applyBorder="1" applyAlignment="1">
      <alignment wrapText="1"/>
    </xf>
    <xf numFmtId="0" fontId="18" fillId="0" borderId="22" xfId="4" applyFont="1" applyFill="1" applyBorder="1"/>
    <xf numFmtId="0" fontId="7" fillId="0" borderId="42" xfId="0" applyFont="1" applyBorder="1" applyAlignment="1">
      <alignment horizontal="center" vertical="center"/>
    </xf>
    <xf numFmtId="166" fontId="8" fillId="0" borderId="70" xfId="2" applyNumberFormat="1" applyFont="1" applyFill="1" applyBorder="1" applyAlignment="1">
      <alignment horizontal="center" vertical="center"/>
    </xf>
    <xf numFmtId="166" fontId="8" fillId="0" borderId="71" xfId="2" applyNumberFormat="1" applyFont="1" applyFill="1" applyBorder="1" applyAlignment="1">
      <alignment horizontal="center" vertical="center"/>
    </xf>
    <xf numFmtId="0" fontId="7" fillId="0" borderId="16" xfId="0" applyFont="1" applyBorder="1" applyAlignment="1">
      <alignment horizontal="center" vertical="center" wrapText="1"/>
    </xf>
    <xf numFmtId="166" fontId="8" fillId="0" borderId="14" xfId="2" applyNumberFormat="1" applyFont="1" applyFill="1" applyBorder="1" applyAlignment="1">
      <alignment horizontal="center" vertical="center"/>
    </xf>
    <xf numFmtId="0" fontId="11" fillId="0" borderId="16" xfId="0" applyFont="1" applyBorder="1" applyAlignment="1">
      <alignment horizontal="center" vertical="center"/>
    </xf>
    <xf numFmtId="0" fontId="10" fillId="0" borderId="58" xfId="0" applyFont="1" applyBorder="1"/>
    <xf numFmtId="0" fontId="10" fillId="0" borderId="22" xfId="0" applyFont="1" applyBorder="1"/>
    <xf numFmtId="0" fontId="14" fillId="0" borderId="55" xfId="0" applyFont="1" applyBorder="1"/>
    <xf numFmtId="0" fontId="10" fillId="0" borderId="28" xfId="0" applyFont="1" applyBorder="1" applyAlignment="1">
      <alignment wrapText="1"/>
    </xf>
    <xf numFmtId="166" fontId="10" fillId="0" borderId="57" xfId="0" applyNumberFormat="1" applyFont="1" applyBorder="1" applyAlignment="1">
      <alignment horizontal="center" vertical="center"/>
    </xf>
    <xf numFmtId="166" fontId="10" fillId="0" borderId="30" xfId="0" applyNumberFormat="1" applyFont="1" applyBorder="1" applyAlignment="1">
      <alignment horizontal="center" vertical="center"/>
    </xf>
    <xf numFmtId="166" fontId="10" fillId="0" borderId="68" xfId="0" applyNumberFormat="1" applyFont="1" applyBorder="1" applyAlignment="1">
      <alignment horizontal="center" vertical="center"/>
    </xf>
    <xf numFmtId="166" fontId="10" fillId="0" borderId="49" xfId="0" applyNumberFormat="1" applyFont="1" applyBorder="1" applyAlignment="1">
      <alignment horizontal="center" vertical="center"/>
    </xf>
    <xf numFmtId="167" fontId="10" fillId="0" borderId="58" xfId="0" applyNumberFormat="1" applyFont="1" applyBorder="1" applyAlignment="1">
      <alignment horizontal="center" vertical="center"/>
    </xf>
    <xf numFmtId="167" fontId="10" fillId="0" borderId="22" xfId="0" applyNumberFormat="1" applyFont="1" applyBorder="1" applyAlignment="1">
      <alignment horizontal="center" vertical="center"/>
    </xf>
    <xf numFmtId="167" fontId="10" fillId="0" borderId="55" xfId="0" applyNumberFormat="1" applyFont="1" applyBorder="1" applyAlignment="1">
      <alignment horizontal="center" vertical="center"/>
    </xf>
    <xf numFmtId="167" fontId="10" fillId="0" borderId="28" xfId="0" applyNumberFormat="1" applyFont="1" applyBorder="1" applyAlignment="1">
      <alignment horizontal="center" vertical="center"/>
    </xf>
    <xf numFmtId="166" fontId="10" fillId="3" borderId="22" xfId="5" applyNumberFormat="1" applyFont="1" applyBorder="1" applyAlignment="1">
      <alignment horizontal="center" vertical="center"/>
    </xf>
    <xf numFmtId="166" fontId="10" fillId="3" borderId="55" xfId="5" applyNumberFormat="1" applyFont="1" applyBorder="1" applyAlignment="1">
      <alignment horizontal="center" vertical="center"/>
    </xf>
    <xf numFmtId="166" fontId="10" fillId="3" borderId="28" xfId="5" applyNumberFormat="1" applyFont="1" applyBorder="1" applyAlignment="1">
      <alignment horizontal="center" vertical="center"/>
    </xf>
    <xf numFmtId="166" fontId="10" fillId="3" borderId="39" xfId="5" applyNumberFormat="1" applyFont="1" applyBorder="1" applyAlignment="1">
      <alignment horizontal="center" vertical="center"/>
    </xf>
    <xf numFmtId="166" fontId="10" fillId="3" borderId="23" xfId="5" applyNumberFormat="1" applyFont="1" applyBorder="1" applyAlignment="1">
      <alignment horizontal="center" vertical="center"/>
    </xf>
    <xf numFmtId="166" fontId="10" fillId="3" borderId="45" xfId="5" applyNumberFormat="1" applyFont="1" applyBorder="1" applyAlignment="1">
      <alignment horizontal="center" vertical="center"/>
    </xf>
    <xf numFmtId="166" fontId="10" fillId="0" borderId="19" xfId="5" applyNumberFormat="1" applyFont="1" applyFill="1" applyBorder="1" applyAlignment="1">
      <alignment horizontal="center" vertical="center"/>
    </xf>
    <xf numFmtId="166" fontId="10" fillId="0" borderId="22" xfId="5" applyNumberFormat="1" applyFont="1" applyFill="1" applyBorder="1" applyAlignment="1">
      <alignment horizontal="center" vertical="center"/>
    </xf>
    <xf numFmtId="166" fontId="10" fillId="0" borderId="28" xfId="5" applyNumberFormat="1" applyFont="1" applyFill="1" applyBorder="1" applyAlignment="1">
      <alignment horizontal="center" vertical="center"/>
    </xf>
    <xf numFmtId="0" fontId="11" fillId="0" borderId="13" xfId="0" applyFont="1" applyBorder="1" applyAlignment="1">
      <alignment horizontal="center"/>
    </xf>
    <xf numFmtId="3" fontId="10" fillId="3" borderId="39" xfId="1" applyNumberFormat="1" applyFont="1" applyFill="1" applyBorder="1" applyAlignment="1">
      <alignment horizontal="center" vertical="center"/>
    </xf>
    <xf numFmtId="3" fontId="10" fillId="3" borderId="23" xfId="1" applyNumberFormat="1" applyFont="1" applyFill="1" applyBorder="1" applyAlignment="1">
      <alignment horizontal="center" vertical="center"/>
    </xf>
    <xf numFmtId="3" fontId="10" fillId="3" borderId="45" xfId="1" applyNumberFormat="1" applyFont="1" applyFill="1" applyBorder="1" applyAlignment="1">
      <alignment horizontal="center" vertical="center"/>
    </xf>
    <xf numFmtId="1" fontId="10" fillId="3" borderId="46" xfId="5" applyNumberFormat="1" applyFont="1" applyBorder="1" applyAlignment="1">
      <alignment horizontal="center" vertical="center"/>
    </xf>
    <xf numFmtId="1" fontId="10" fillId="3" borderId="25" xfId="5" applyNumberFormat="1" applyFont="1" applyBorder="1" applyAlignment="1">
      <alignment horizontal="center" vertical="center"/>
    </xf>
    <xf numFmtId="1" fontId="10" fillId="3" borderId="60" xfId="5" applyNumberFormat="1" applyFont="1" applyBorder="1" applyAlignment="1">
      <alignment horizontal="center" vertical="center"/>
    </xf>
    <xf numFmtId="165" fontId="10" fillId="0" borderId="19" xfId="2" applyNumberFormat="1" applyFont="1" applyFill="1" applyBorder="1" applyAlignment="1">
      <alignment horizontal="center" vertical="center"/>
    </xf>
    <xf numFmtId="165" fontId="10" fillId="0" borderId="22" xfId="2" applyNumberFormat="1" applyFont="1" applyFill="1" applyBorder="1" applyAlignment="1">
      <alignment horizontal="center" vertical="center"/>
    </xf>
    <xf numFmtId="165" fontId="10" fillId="0" borderId="28" xfId="2" applyNumberFormat="1" applyFont="1" applyFill="1" applyBorder="1" applyAlignment="1">
      <alignment horizontal="center" vertical="center"/>
    </xf>
    <xf numFmtId="166" fontId="11" fillId="0" borderId="4" xfId="0" applyNumberFormat="1" applyFont="1" applyBorder="1" applyAlignment="1">
      <alignment vertical="center"/>
    </xf>
    <xf numFmtId="166" fontId="11" fillId="0" borderId="7" xfId="0" applyNumberFormat="1" applyFont="1" applyBorder="1" applyAlignment="1">
      <alignment vertical="center"/>
    </xf>
    <xf numFmtId="0" fontId="10" fillId="0" borderId="10" xfId="0" applyFont="1" applyBorder="1" applyAlignment="1">
      <alignment horizontal="center" vertical="center"/>
    </xf>
    <xf numFmtId="0" fontId="11" fillId="0" borderId="0" xfId="0" applyFont="1" applyAlignment="1">
      <alignment horizontal="left" vertical="center" wrapText="1"/>
    </xf>
    <xf numFmtId="0" fontId="14" fillId="0" borderId="0" xfId="0" applyFont="1" applyAlignment="1">
      <alignment horizontal="left"/>
    </xf>
    <xf numFmtId="0" fontId="10" fillId="0" borderId="16" xfId="0" applyFont="1" applyBorder="1" applyAlignment="1">
      <alignment horizontal="center" vertical="center"/>
    </xf>
    <xf numFmtId="0" fontId="8" fillId="0" borderId="45" xfId="6" applyFont="1" applyBorder="1" applyAlignment="1">
      <alignment wrapText="1"/>
    </xf>
    <xf numFmtId="0" fontId="8" fillId="3" borderId="19" xfId="5" applyFont="1" applyBorder="1" applyAlignment="1">
      <alignment horizontal="center" vertical="center"/>
    </xf>
    <xf numFmtId="0" fontId="7" fillId="0" borderId="13" xfId="4" applyFont="1" applyFill="1" applyBorder="1" applyAlignment="1">
      <alignment horizontal="center" vertical="center"/>
    </xf>
    <xf numFmtId="8" fontId="8" fillId="0" borderId="16" xfId="4" applyNumberFormat="1" applyFont="1" applyFill="1" applyBorder="1" applyAlignment="1">
      <alignment horizontal="center" vertical="center" wrapText="1"/>
    </xf>
    <xf numFmtId="0" fontId="19" fillId="0" borderId="0" xfId="9" applyFill="1" applyAlignment="1">
      <alignment horizontal="center" vertical="center" wrapText="1"/>
    </xf>
    <xf numFmtId="0" fontId="10" fillId="3" borderId="72" xfId="5" applyFont="1" applyBorder="1" applyAlignment="1">
      <alignment horizontal="center" vertical="center"/>
    </xf>
    <xf numFmtId="0" fontId="11" fillId="0" borderId="0" xfId="0" applyFont="1" applyAlignment="1">
      <alignment wrapText="1"/>
    </xf>
    <xf numFmtId="167" fontId="8" fillId="0" borderId="1" xfId="5" applyNumberFormat="1" applyFont="1" applyFill="1" applyAlignment="1">
      <alignment horizontal="center" vertical="center"/>
    </xf>
    <xf numFmtId="10" fontId="8" fillId="0" borderId="28" xfId="0" applyNumberFormat="1" applyFont="1" applyBorder="1" applyAlignment="1">
      <alignment horizontal="center" vertical="center"/>
    </xf>
    <xf numFmtId="10" fontId="15" fillId="0" borderId="0" xfId="0" applyNumberFormat="1" applyFont="1" applyAlignment="1">
      <alignment horizontal="center" vertical="center"/>
    </xf>
    <xf numFmtId="0" fontId="15" fillId="0" borderId="8" xfId="0" applyFont="1" applyBorder="1" applyAlignment="1">
      <alignment horizontal="center"/>
    </xf>
    <xf numFmtId="0" fontId="15" fillId="0" borderId="0" xfId="0" applyFont="1" applyAlignment="1">
      <alignment horizontal="center"/>
    </xf>
    <xf numFmtId="0" fontId="10" fillId="0" borderId="0" xfId="5" applyFont="1" applyFill="1" applyBorder="1" applyAlignment="1">
      <alignment horizontal="center" vertical="center"/>
    </xf>
    <xf numFmtId="10" fontId="10" fillId="3" borderId="22" xfId="3" applyNumberFormat="1" applyFont="1" applyFill="1" applyBorder="1" applyAlignment="1">
      <alignment horizontal="center" vertical="center"/>
    </xf>
    <xf numFmtId="10" fontId="10" fillId="3" borderId="28" xfId="3" applyNumberFormat="1" applyFont="1" applyFill="1" applyBorder="1" applyAlignment="1">
      <alignment horizontal="center" vertical="center"/>
    </xf>
    <xf numFmtId="8" fontId="15" fillId="0" borderId="0" xfId="0" applyNumberFormat="1" applyFont="1" applyAlignment="1">
      <alignment horizontal="center" vertical="center"/>
    </xf>
    <xf numFmtId="0" fontId="3" fillId="0" borderId="13" xfId="0" applyFont="1" applyBorder="1" applyAlignment="1">
      <alignment horizontal="center" vertical="center"/>
    </xf>
    <xf numFmtId="164" fontId="8" fillId="0" borderId="37" xfId="2" applyNumberFormat="1" applyFont="1" applyFill="1" applyBorder="1" applyAlignment="1" applyProtection="1">
      <alignment horizontal="center" vertical="center"/>
      <protection locked="0"/>
    </xf>
    <xf numFmtId="164" fontId="8" fillId="0" borderId="20" xfId="2" applyNumberFormat="1" applyFont="1" applyFill="1" applyBorder="1" applyAlignment="1" applyProtection="1">
      <alignment horizontal="center" vertical="center"/>
      <protection locked="0"/>
    </xf>
    <xf numFmtId="164" fontId="8" fillId="0" borderId="21" xfId="2" applyNumberFormat="1" applyFont="1" applyFill="1" applyBorder="1" applyAlignment="1" applyProtection="1">
      <alignment horizontal="center" vertical="center"/>
      <protection locked="0"/>
    </xf>
    <xf numFmtId="164" fontId="8" fillId="0" borderId="40" xfId="2" applyNumberFormat="1" applyFont="1" applyFill="1" applyBorder="1" applyAlignment="1" applyProtection="1">
      <alignment horizontal="center" vertical="center"/>
      <protection locked="0"/>
    </xf>
    <xf numFmtId="164" fontId="8" fillId="0" borderId="26" xfId="2" applyNumberFormat="1" applyFont="1" applyFill="1" applyBorder="1" applyAlignment="1" applyProtection="1">
      <alignment horizontal="center" vertical="center"/>
      <protection locked="0"/>
    </xf>
    <xf numFmtId="164" fontId="8" fillId="0" borderId="27" xfId="2" applyNumberFormat="1" applyFont="1" applyFill="1" applyBorder="1" applyAlignment="1" applyProtection="1">
      <alignment horizontal="center" vertical="center"/>
      <protection locked="0"/>
    </xf>
    <xf numFmtId="164" fontId="8" fillId="0" borderId="30" xfId="2" applyNumberFormat="1" applyFont="1" applyFill="1" applyBorder="1" applyAlignment="1" applyProtection="1">
      <alignment horizontal="center" vertical="center"/>
      <protection locked="0"/>
    </xf>
    <xf numFmtId="164" fontId="7" fillId="0" borderId="22" xfId="2" applyNumberFormat="1" applyFont="1" applyBorder="1" applyAlignment="1">
      <alignment horizontal="center" vertical="center"/>
    </xf>
    <xf numFmtId="164" fontId="8" fillId="0" borderId="49" xfId="2" applyNumberFormat="1" applyFont="1" applyFill="1" applyBorder="1" applyAlignment="1">
      <alignment horizontal="center" vertical="center"/>
    </xf>
    <xf numFmtId="164" fontId="8" fillId="0" borderId="26" xfId="2" applyNumberFormat="1" applyFont="1" applyFill="1" applyBorder="1" applyAlignment="1">
      <alignment horizontal="center" vertical="center"/>
    </xf>
    <xf numFmtId="164" fontId="8" fillId="0" borderId="27" xfId="2" applyNumberFormat="1" applyFont="1" applyFill="1" applyBorder="1" applyAlignment="1">
      <alignment horizontal="center" vertical="center"/>
    </xf>
    <xf numFmtId="164" fontId="8" fillId="0" borderId="28" xfId="2" applyNumberFormat="1" applyFont="1" applyFill="1" applyBorder="1" applyAlignment="1">
      <alignment horizontal="center" vertical="center"/>
    </xf>
    <xf numFmtId="164" fontId="8" fillId="0" borderId="61" xfId="2" applyNumberFormat="1" applyFont="1" applyFill="1" applyBorder="1" applyAlignment="1" applyProtection="1">
      <alignment horizontal="center" vertical="center"/>
      <protection locked="0"/>
    </xf>
    <xf numFmtId="164" fontId="8" fillId="0" borderId="30" xfId="2" applyNumberFormat="1" applyFont="1" applyFill="1" applyBorder="1" applyAlignment="1">
      <alignment horizontal="center" vertical="center"/>
    </xf>
    <xf numFmtId="164" fontId="8" fillId="0" borderId="20" xfId="2" applyNumberFormat="1" applyFont="1" applyFill="1" applyBorder="1" applyAlignment="1">
      <alignment horizontal="center" vertical="center"/>
    </xf>
    <xf numFmtId="164" fontId="8" fillId="0" borderId="49" xfId="2" applyNumberFormat="1" applyFont="1" applyBorder="1" applyAlignment="1">
      <alignment horizontal="center" vertical="center"/>
    </xf>
    <xf numFmtId="164" fontId="8" fillId="0" borderId="26" xfId="2" applyNumberFormat="1" applyFont="1" applyBorder="1" applyAlignment="1">
      <alignment horizontal="center" vertical="center"/>
    </xf>
    <xf numFmtId="164" fontId="8" fillId="0" borderId="27" xfId="2" applyNumberFormat="1" applyFont="1" applyBorder="1" applyAlignment="1">
      <alignment horizontal="center" vertical="center"/>
    </xf>
    <xf numFmtId="164" fontId="8" fillId="0" borderId="22" xfId="2" applyNumberFormat="1" applyFont="1" applyFill="1" applyBorder="1" applyAlignment="1" applyProtection="1">
      <alignment horizontal="center" vertical="center"/>
      <protection locked="0"/>
    </xf>
    <xf numFmtId="164" fontId="8" fillId="3" borderId="61" xfId="2" applyNumberFormat="1" applyFont="1" applyFill="1" applyBorder="1" applyAlignment="1" applyProtection="1">
      <alignment horizontal="center" vertical="center"/>
      <protection locked="0"/>
    </xf>
    <xf numFmtId="167" fontId="10" fillId="0" borderId="0" xfId="0" applyNumberFormat="1" applyFont="1" applyAlignment="1">
      <alignment horizontal="center" vertical="center"/>
    </xf>
    <xf numFmtId="38" fontId="10" fillId="0" borderId="16" xfId="0" applyNumberFormat="1" applyFont="1" applyBorder="1" applyAlignment="1">
      <alignment wrapText="1"/>
    </xf>
    <xf numFmtId="167" fontId="10" fillId="0" borderId="16" xfId="0" applyNumberFormat="1" applyFont="1" applyBorder="1" applyAlignment="1">
      <alignment horizontal="center" vertical="center"/>
    </xf>
    <xf numFmtId="166" fontId="10" fillId="0" borderId="56" xfId="0" applyNumberFormat="1" applyFont="1" applyBorder="1" applyAlignment="1">
      <alignment horizontal="center" vertical="center"/>
    </xf>
    <xf numFmtId="166" fontId="10" fillId="0" borderId="10" xfId="0" applyNumberFormat="1" applyFont="1" applyBorder="1" applyAlignment="1">
      <alignment horizontal="center" vertical="center"/>
    </xf>
    <xf numFmtId="0" fontId="14" fillId="0" borderId="0" xfId="0" applyFont="1" applyAlignment="1">
      <alignment wrapText="1"/>
    </xf>
    <xf numFmtId="0" fontId="10" fillId="0" borderId="0" xfId="0" applyFont="1" applyAlignment="1">
      <alignment vertical="center" wrapText="1"/>
    </xf>
    <xf numFmtId="0" fontId="11" fillId="0" borderId="8" xfId="0" applyFont="1" applyBorder="1" applyAlignment="1">
      <alignment horizontal="center" vertical="center" wrapText="1"/>
    </xf>
    <xf numFmtId="0" fontId="7" fillId="3" borderId="16" xfId="5" applyFont="1" applyBorder="1" applyAlignment="1">
      <alignment horizontal="center" vertical="center" wrapText="1"/>
    </xf>
    <xf numFmtId="0" fontId="15" fillId="0" borderId="0" xfId="6" applyFont="1" applyAlignment="1">
      <alignment horizontal="center" vertical="center"/>
    </xf>
    <xf numFmtId="0" fontId="15" fillId="0" borderId="0" xfId="0" applyFont="1"/>
    <xf numFmtId="0" fontId="20" fillId="0" borderId="0" xfId="0" applyFont="1"/>
    <xf numFmtId="0" fontId="21" fillId="0" borderId="0" xfId="0" applyFont="1"/>
    <xf numFmtId="0" fontId="21" fillId="0" borderId="0" xfId="0" applyFont="1" applyAlignment="1">
      <alignment horizontal="left" vertical="center" indent="10"/>
    </xf>
    <xf numFmtId="0" fontId="22" fillId="0" borderId="0" xfId="0" applyFont="1" applyAlignment="1">
      <alignment vertical="center"/>
    </xf>
    <xf numFmtId="0" fontId="23" fillId="0" borderId="0" xfId="0" applyFont="1" applyAlignment="1">
      <alignment vertical="center"/>
    </xf>
    <xf numFmtId="38" fontId="24" fillId="0" borderId="0" xfId="0" applyNumberFormat="1" applyFont="1"/>
    <xf numFmtId="38" fontId="25" fillId="3" borderId="55" xfId="5" applyNumberFormat="1" applyFont="1" applyBorder="1" applyAlignment="1">
      <alignment horizontal="center" vertical="center" wrapText="1"/>
    </xf>
    <xf numFmtId="38" fontId="10" fillId="0" borderId="0" xfId="0" applyNumberFormat="1" applyFont="1" applyAlignment="1">
      <alignment horizontal="center" vertical="center"/>
    </xf>
    <xf numFmtId="165" fontId="25" fillId="3" borderId="16" xfId="5" applyNumberFormat="1" applyFont="1" applyBorder="1" applyAlignment="1">
      <alignment horizontal="center" vertical="center"/>
    </xf>
    <xf numFmtId="166" fontId="25" fillId="3" borderId="44" xfId="5" applyNumberFormat="1" applyFont="1" applyBorder="1" applyAlignment="1">
      <alignment horizontal="center" vertical="center"/>
    </xf>
    <xf numFmtId="166" fontId="25" fillId="3" borderId="39" xfId="5" applyNumberFormat="1" applyFont="1" applyBorder="1" applyAlignment="1">
      <alignment horizontal="center" vertical="center"/>
    </xf>
    <xf numFmtId="166" fontId="25" fillId="3" borderId="19" xfId="5" applyNumberFormat="1" applyFont="1" applyBorder="1" applyAlignment="1">
      <alignment horizontal="center" vertical="center"/>
    </xf>
    <xf numFmtId="166" fontId="25" fillId="3" borderId="22" xfId="5" applyNumberFormat="1" applyFont="1" applyBorder="1" applyAlignment="1">
      <alignment horizontal="center" vertical="center"/>
    </xf>
    <xf numFmtId="3" fontId="25" fillId="3" borderId="44" xfId="1" applyNumberFormat="1" applyFont="1" applyFill="1" applyBorder="1" applyAlignment="1">
      <alignment horizontal="center" vertical="center"/>
    </xf>
    <xf numFmtId="3" fontId="25" fillId="3" borderId="39" xfId="1" applyNumberFormat="1" applyFont="1" applyFill="1" applyBorder="1" applyAlignment="1">
      <alignment horizontal="center" vertical="center"/>
    </xf>
    <xf numFmtId="166" fontId="26" fillId="3" borderId="39" xfId="5" applyNumberFormat="1" applyFont="1" applyBorder="1" applyAlignment="1">
      <alignment horizontal="center" vertical="center"/>
    </xf>
    <xf numFmtId="10" fontId="27" fillId="3" borderId="19" xfId="3" applyNumberFormat="1" applyFont="1" applyFill="1" applyBorder="1" applyAlignment="1">
      <alignment horizontal="center" vertical="center"/>
    </xf>
    <xf numFmtId="10" fontId="27" fillId="3" borderId="22" xfId="3" applyNumberFormat="1" applyFont="1" applyFill="1" applyBorder="1" applyAlignment="1">
      <alignment horizontal="center" vertical="center"/>
    </xf>
    <xf numFmtId="167" fontId="26" fillId="3" borderId="19" xfId="5" applyNumberFormat="1" applyFont="1" applyBorder="1" applyAlignment="1">
      <alignment horizontal="center" vertical="center"/>
    </xf>
    <xf numFmtId="38" fontId="28" fillId="3" borderId="53" xfId="5" applyNumberFormat="1" applyFont="1" applyBorder="1" applyAlignment="1">
      <alignment horizontal="center" vertical="center"/>
    </xf>
    <xf numFmtId="38" fontId="28" fillId="3" borderId="24" xfId="5" applyNumberFormat="1" applyFont="1" applyBorder="1" applyAlignment="1">
      <alignment horizontal="center" vertical="center"/>
    </xf>
    <xf numFmtId="5" fontId="25" fillId="3" borderId="19" xfId="5" applyNumberFormat="1" applyFont="1" applyBorder="1" applyAlignment="1">
      <alignment horizontal="center" vertical="center"/>
    </xf>
    <xf numFmtId="0" fontId="11" fillId="0" borderId="7" xfId="0" applyFont="1" applyBorder="1" applyAlignment="1">
      <alignment horizontal="center" vertical="center"/>
    </xf>
    <xf numFmtId="5" fontId="11" fillId="0" borderId="16" xfId="0" applyNumberFormat="1" applyFont="1" applyBorder="1" applyAlignment="1">
      <alignment horizontal="center" vertical="center" wrapText="1"/>
    </xf>
    <xf numFmtId="5" fontId="26" fillId="3" borderId="19" xfId="5" applyNumberFormat="1" applyFont="1" applyBorder="1" applyAlignment="1">
      <alignment horizontal="center" vertical="center"/>
    </xf>
    <xf numFmtId="165" fontId="26" fillId="3" borderId="16" xfId="5" applyNumberFormat="1" applyFont="1" applyBorder="1" applyAlignment="1">
      <alignment horizontal="center" vertical="center"/>
    </xf>
    <xf numFmtId="10" fontId="26" fillId="3" borderId="55" xfId="3" applyNumberFormat="1" applyFont="1" applyFill="1" applyBorder="1" applyAlignment="1">
      <alignment horizontal="center" vertical="center"/>
    </xf>
    <xf numFmtId="44" fontId="8" fillId="0" borderId="30" xfId="2" applyFont="1" applyFill="1" applyBorder="1" applyAlignment="1">
      <alignment horizontal="center" vertical="center"/>
    </xf>
    <xf numFmtId="44" fontId="8" fillId="0" borderId="20" xfId="2" applyFont="1" applyFill="1" applyBorder="1" applyAlignment="1">
      <alignment horizontal="center" vertical="center"/>
    </xf>
    <xf numFmtId="0" fontId="10" fillId="0" borderId="0" xfId="0" applyFont="1" applyAlignment="1">
      <alignment horizontal="left"/>
    </xf>
    <xf numFmtId="0" fontId="10" fillId="0" borderId="13" xfId="0" applyFont="1" applyBorder="1" applyAlignment="1">
      <alignment vertical="center" wrapText="1"/>
    </xf>
    <xf numFmtId="0" fontId="10" fillId="0" borderId="15" xfId="0" applyFont="1" applyBorder="1" applyAlignment="1">
      <alignment vertical="center" wrapText="1"/>
    </xf>
    <xf numFmtId="0" fontId="10" fillId="0" borderId="14" xfId="0" applyFont="1" applyBorder="1" applyAlignment="1">
      <alignment vertical="center" wrapText="1"/>
    </xf>
    <xf numFmtId="0" fontId="10" fillId="0" borderId="4" xfId="0" applyFont="1" applyBorder="1" applyAlignment="1">
      <alignment horizontal="left" vertical="center" wrapText="1"/>
    </xf>
    <xf numFmtId="0" fontId="10" fillId="0" borderId="7" xfId="0" applyFont="1" applyBorder="1" applyAlignment="1">
      <alignment horizontal="left" vertical="center" wrapText="1"/>
    </xf>
    <xf numFmtId="0" fontId="10" fillId="0" borderId="10" xfId="0" applyFont="1" applyBorder="1" applyAlignment="1">
      <alignment horizontal="left" vertical="center" wrapText="1"/>
    </xf>
    <xf numFmtId="0" fontId="11" fillId="0" borderId="0" xfId="0" applyFont="1" applyAlignment="1">
      <alignment horizontal="center"/>
    </xf>
    <xf numFmtId="0" fontId="10" fillId="4" borderId="13" xfId="0" applyFont="1" applyFill="1" applyBorder="1" applyAlignment="1">
      <alignment vertical="center" wrapText="1"/>
    </xf>
    <xf numFmtId="0" fontId="10" fillId="4" borderId="15" xfId="0" applyFont="1" applyFill="1" applyBorder="1" applyAlignment="1">
      <alignment vertical="center" wrapText="1"/>
    </xf>
    <xf numFmtId="0" fontId="10" fillId="4" borderId="14" xfId="0" applyFont="1" applyFill="1" applyBorder="1" applyAlignment="1">
      <alignment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11" fillId="6" borderId="4"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10" xfId="0" applyFont="1" applyFill="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14" fillId="0" borderId="6" xfId="0" applyFont="1" applyBorder="1" applyAlignment="1">
      <alignment horizontal="left"/>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left"/>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8" fillId="0" borderId="3" xfId="0" applyFont="1" applyBorder="1" applyAlignment="1">
      <alignment horizontal="center"/>
    </xf>
    <xf numFmtId="0" fontId="8" fillId="0" borderId="0" xfId="0" applyFont="1" applyAlignment="1">
      <alignment horizontal="center"/>
    </xf>
    <xf numFmtId="0" fontId="8" fillId="0" borderId="11" xfId="0" applyFont="1" applyBorder="1" applyAlignment="1">
      <alignment horizontal="center"/>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11" fillId="0" borderId="56" xfId="0" applyFont="1" applyBorder="1" applyAlignment="1">
      <alignment horizontal="center" vertical="center"/>
    </xf>
    <xf numFmtId="0" fontId="11" fillId="0" borderId="33" xfId="0" applyFont="1" applyBorder="1" applyAlignment="1">
      <alignment horizontal="center" vertical="center"/>
    </xf>
    <xf numFmtId="0" fontId="11" fillId="0" borderId="42" xfId="0" applyFont="1" applyBorder="1" applyAlignment="1">
      <alignment horizontal="center" vertical="center"/>
    </xf>
    <xf numFmtId="0" fontId="11" fillId="0" borderId="19" xfId="0" applyFont="1" applyBorder="1" applyAlignment="1">
      <alignment horizontal="center" vertical="center"/>
    </xf>
    <xf numFmtId="0" fontId="11" fillId="0" borderId="28" xfId="0" applyFont="1" applyBorder="1" applyAlignment="1">
      <alignment horizontal="center" vertical="center"/>
    </xf>
    <xf numFmtId="0" fontId="11" fillId="0" borderId="2" xfId="7" applyFont="1" applyBorder="1" applyAlignment="1">
      <alignment horizontal="center" vertical="center"/>
    </xf>
    <xf numFmtId="0" fontId="11" fillId="0" borderId="6" xfId="7" applyFont="1" applyBorder="1" applyAlignment="1">
      <alignment horizontal="center" vertical="center"/>
    </xf>
    <xf numFmtId="0" fontId="11" fillId="0" borderId="9" xfId="7" applyFont="1" applyBorder="1" applyAlignment="1">
      <alignment horizontal="center" vertical="center"/>
    </xf>
  </cellXfs>
  <cellStyles count="10">
    <cellStyle name="Bad" xfId="9" builtinId="27"/>
    <cellStyle name="Comma" xfId="1" builtinId="3"/>
    <cellStyle name="Currency" xfId="2" builtinId="4"/>
    <cellStyle name="Good" xfId="4" builtinId="26"/>
    <cellStyle name="Normal" xfId="0" builtinId="0"/>
    <cellStyle name="Normal 2" xfId="8" xr:uid="{00000000-0005-0000-0000-000005000000}"/>
    <cellStyle name="Normal 2 2" xfId="6" xr:uid="{00000000-0005-0000-0000-000006000000}"/>
    <cellStyle name="Normal 5" xfId="7" xr:uid="{00000000-0005-0000-0000-000007000000}"/>
    <cellStyle name="Note" xfId="5" builtinId="10"/>
    <cellStyle name="Percent"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2"/>
  <sheetViews>
    <sheetView tabSelected="1" zoomScale="80" zoomScaleNormal="80" workbookViewId="0"/>
  </sheetViews>
  <sheetFormatPr defaultColWidth="9.1796875" defaultRowHeight="13" x14ac:dyDescent="0.3"/>
  <cols>
    <col min="1" max="1" width="9.1796875" style="9" customWidth="1"/>
    <col min="2" max="4" width="57.54296875" style="9" customWidth="1"/>
    <col min="5" max="13" width="10.54296875" style="9" customWidth="1"/>
    <col min="14" max="16384" width="9.1796875" style="9"/>
  </cols>
  <sheetData>
    <row r="1" spans="1:4" x14ac:dyDescent="0.3">
      <c r="A1" s="10" t="s">
        <v>106</v>
      </c>
    </row>
    <row r="2" spans="1:4" x14ac:dyDescent="0.3">
      <c r="A2" s="10"/>
    </row>
    <row r="3" spans="1:4" x14ac:dyDescent="0.3">
      <c r="B3" s="10" t="s">
        <v>70</v>
      </c>
    </row>
    <row r="4" spans="1:4" ht="13.5" thickBot="1" x14ac:dyDescent="0.35"/>
    <row r="5" spans="1:4" ht="68.25" customHeight="1" thickBot="1" x14ac:dyDescent="0.35">
      <c r="B5" s="347" t="s">
        <v>139</v>
      </c>
      <c r="C5" s="348"/>
      <c r="D5" s="349"/>
    </row>
    <row r="7" spans="1:4" ht="13.5" thickBot="1" x14ac:dyDescent="0.35">
      <c r="B7" s="43" t="s">
        <v>23</v>
      </c>
      <c r="C7" s="350"/>
      <c r="D7" s="350"/>
    </row>
    <row r="8" spans="1:4" ht="52.5" thickBot="1" x14ac:dyDescent="0.35">
      <c r="B8" s="44" t="s">
        <v>88</v>
      </c>
      <c r="C8" s="62" t="s">
        <v>116</v>
      </c>
      <c r="D8" s="70" t="s">
        <v>136</v>
      </c>
    </row>
    <row r="9" spans="1:4" x14ac:dyDescent="0.3">
      <c r="B9" s="344" t="s">
        <v>24</v>
      </c>
      <c r="C9" s="45" t="s">
        <v>20</v>
      </c>
      <c r="D9" s="351"/>
    </row>
    <row r="10" spans="1:4" ht="26" x14ac:dyDescent="0.3">
      <c r="B10" s="345"/>
      <c r="C10" s="46" t="s">
        <v>25</v>
      </c>
      <c r="D10" s="352"/>
    </row>
    <row r="11" spans="1:4" x14ac:dyDescent="0.3">
      <c r="B11" s="345"/>
      <c r="C11" s="46" t="s">
        <v>26</v>
      </c>
      <c r="D11" s="352"/>
    </row>
    <row r="12" spans="1:4" x14ac:dyDescent="0.3">
      <c r="B12" s="345"/>
      <c r="C12" s="45" t="s">
        <v>27</v>
      </c>
      <c r="D12" s="352"/>
    </row>
    <row r="13" spans="1:4" ht="26" x14ac:dyDescent="0.3">
      <c r="B13" s="345"/>
      <c r="C13" s="46" t="s">
        <v>40</v>
      </c>
      <c r="D13" s="352"/>
    </row>
    <row r="14" spans="1:4" x14ac:dyDescent="0.3">
      <c r="B14" s="345"/>
      <c r="C14" s="45" t="s">
        <v>28</v>
      </c>
      <c r="D14" s="352"/>
    </row>
    <row r="15" spans="1:4" ht="13.5" thickBot="1" x14ac:dyDescent="0.35">
      <c r="B15" s="346"/>
      <c r="C15" s="47" t="s">
        <v>29</v>
      </c>
      <c r="D15" s="353"/>
    </row>
    <row r="16" spans="1:4" x14ac:dyDescent="0.3">
      <c r="B16" s="344" t="s">
        <v>30</v>
      </c>
      <c r="C16" s="45" t="s">
        <v>31</v>
      </c>
      <c r="D16" s="351"/>
    </row>
    <row r="17" spans="2:4" x14ac:dyDescent="0.3">
      <c r="B17" s="345"/>
      <c r="C17" s="46" t="s">
        <v>32</v>
      </c>
      <c r="D17" s="352"/>
    </row>
    <row r="18" spans="2:4" x14ac:dyDescent="0.3">
      <c r="B18" s="345"/>
      <c r="C18" s="45" t="s">
        <v>33</v>
      </c>
      <c r="D18" s="352"/>
    </row>
    <row r="19" spans="2:4" x14ac:dyDescent="0.3">
      <c r="B19" s="345"/>
      <c r="C19" s="48" t="s">
        <v>34</v>
      </c>
      <c r="D19" s="352"/>
    </row>
    <row r="20" spans="2:4" ht="26" x14ac:dyDescent="0.3">
      <c r="B20" s="345"/>
      <c r="C20" s="46" t="s">
        <v>35</v>
      </c>
      <c r="D20" s="352"/>
    </row>
    <row r="21" spans="2:4" ht="13.5" thickBot="1" x14ac:dyDescent="0.35">
      <c r="B21" s="346"/>
      <c r="C21" s="47" t="s">
        <v>36</v>
      </c>
      <c r="D21" s="353"/>
    </row>
    <row r="22" spans="2:4" x14ac:dyDescent="0.3">
      <c r="B22" s="49"/>
    </row>
    <row r="23" spans="2:4" ht="13.5" thickBot="1" x14ac:dyDescent="0.35">
      <c r="B23" s="43" t="s">
        <v>37</v>
      </c>
    </row>
    <row r="24" spans="2:4" ht="39.5" thickBot="1" x14ac:dyDescent="0.35">
      <c r="B24" s="44" t="s">
        <v>71</v>
      </c>
      <c r="C24" s="62" t="str">
        <f>C8</f>
        <v>IMD Services Limit</v>
      </c>
      <c r="D24" s="62" t="str">
        <f>D8</f>
        <v>Non-IMD Services CNOM Limit</v>
      </c>
    </row>
    <row r="25" spans="2:4" x14ac:dyDescent="0.3">
      <c r="B25" s="344" t="s">
        <v>24</v>
      </c>
      <c r="C25" s="45" t="s">
        <v>20</v>
      </c>
      <c r="D25" s="45" t="s">
        <v>20</v>
      </c>
    </row>
    <row r="26" spans="2:4" ht="26" x14ac:dyDescent="0.3">
      <c r="B26" s="345"/>
      <c r="C26" s="46" t="s">
        <v>25</v>
      </c>
      <c r="D26" s="46" t="s">
        <v>81</v>
      </c>
    </row>
    <row r="27" spans="2:4" x14ac:dyDescent="0.3">
      <c r="B27" s="345"/>
      <c r="C27" s="46" t="s">
        <v>26</v>
      </c>
      <c r="D27" s="46" t="s">
        <v>82</v>
      </c>
    </row>
    <row r="28" spans="2:4" ht="26" x14ac:dyDescent="0.3">
      <c r="B28" s="345"/>
      <c r="C28" s="45" t="s">
        <v>27</v>
      </c>
      <c r="D28" s="46" t="s">
        <v>89</v>
      </c>
    </row>
    <row r="29" spans="2:4" ht="26" x14ac:dyDescent="0.3">
      <c r="B29" s="345"/>
      <c r="C29" s="46" t="s">
        <v>40</v>
      </c>
      <c r="D29" s="45" t="s">
        <v>27</v>
      </c>
    </row>
    <row r="30" spans="2:4" ht="26" x14ac:dyDescent="0.3">
      <c r="B30" s="345"/>
      <c r="C30" s="46" t="s">
        <v>41</v>
      </c>
      <c r="D30" s="46" t="s">
        <v>83</v>
      </c>
    </row>
    <row r="31" spans="2:4" x14ac:dyDescent="0.3">
      <c r="B31" s="345"/>
      <c r="C31" s="45" t="s">
        <v>28</v>
      </c>
      <c r="D31" s="45" t="s">
        <v>28</v>
      </c>
    </row>
    <row r="32" spans="2:4" ht="13.5" thickBot="1" x14ac:dyDescent="0.35">
      <c r="B32" s="346"/>
      <c r="C32" s="47" t="s">
        <v>29</v>
      </c>
      <c r="D32" s="47" t="s">
        <v>38</v>
      </c>
    </row>
    <row r="33" spans="2:4" x14ac:dyDescent="0.3">
      <c r="B33" s="344" t="s">
        <v>30</v>
      </c>
      <c r="C33" s="45" t="s">
        <v>31</v>
      </c>
      <c r="D33" s="45" t="s">
        <v>31</v>
      </c>
    </row>
    <row r="34" spans="2:4" ht="26" x14ac:dyDescent="0.3">
      <c r="B34" s="345"/>
      <c r="C34" s="46" t="s">
        <v>32</v>
      </c>
      <c r="D34" s="46" t="s">
        <v>84</v>
      </c>
    </row>
    <row r="35" spans="2:4" x14ac:dyDescent="0.3">
      <c r="B35" s="345"/>
      <c r="C35" s="45" t="s">
        <v>33</v>
      </c>
      <c r="D35" s="45" t="s">
        <v>33</v>
      </c>
    </row>
    <row r="36" spans="2:4" x14ac:dyDescent="0.3">
      <c r="B36" s="345"/>
      <c r="C36" s="48" t="s">
        <v>34</v>
      </c>
      <c r="D36" s="48" t="s">
        <v>34</v>
      </c>
    </row>
    <row r="37" spans="2:4" ht="26" x14ac:dyDescent="0.3">
      <c r="B37" s="345"/>
      <c r="C37" s="46" t="s">
        <v>35</v>
      </c>
      <c r="D37" s="46" t="s">
        <v>39</v>
      </c>
    </row>
    <row r="38" spans="2:4" ht="13.5" thickBot="1" x14ac:dyDescent="0.35">
      <c r="B38" s="346"/>
      <c r="C38" s="47" t="s">
        <v>36</v>
      </c>
      <c r="D38" s="47" t="s">
        <v>85</v>
      </c>
    </row>
    <row r="40" spans="2:4" x14ac:dyDescent="0.3">
      <c r="B40" s="43" t="s">
        <v>42</v>
      </c>
    </row>
    <row r="41" spans="2:4" x14ac:dyDescent="0.3">
      <c r="B41" s="49" t="s">
        <v>43</v>
      </c>
    </row>
    <row r="42" spans="2:4" x14ac:dyDescent="0.3">
      <c r="B42" s="49" t="s">
        <v>72</v>
      </c>
    </row>
    <row r="43" spans="2:4" x14ac:dyDescent="0.3">
      <c r="B43" s="49" t="s">
        <v>44</v>
      </c>
    </row>
    <row r="44" spans="2:4" x14ac:dyDescent="0.3">
      <c r="B44" s="49" t="s">
        <v>45</v>
      </c>
    </row>
    <row r="45" spans="2:4" x14ac:dyDescent="0.3">
      <c r="B45" s="49" t="s">
        <v>46</v>
      </c>
    </row>
    <row r="46" spans="2:4" x14ac:dyDescent="0.3">
      <c r="B46" s="49" t="s">
        <v>47</v>
      </c>
    </row>
    <row r="47" spans="2:4" x14ac:dyDescent="0.3">
      <c r="B47" s="49" t="s">
        <v>86</v>
      </c>
    </row>
    <row r="48" spans="2:4" x14ac:dyDescent="0.3">
      <c r="B48" s="49" t="s">
        <v>87</v>
      </c>
    </row>
    <row r="49" spans="2:13" x14ac:dyDescent="0.3">
      <c r="B49" s="49"/>
    </row>
    <row r="50" spans="2:13" x14ac:dyDescent="0.3">
      <c r="B50" s="43" t="s">
        <v>48</v>
      </c>
    </row>
    <row r="51" spans="2:13" x14ac:dyDescent="0.3">
      <c r="B51" s="50" t="s">
        <v>49</v>
      </c>
    </row>
    <row r="52" spans="2:13" x14ac:dyDescent="0.3">
      <c r="B52" s="50" t="s">
        <v>140</v>
      </c>
    </row>
    <row r="53" spans="2:13" x14ac:dyDescent="0.3">
      <c r="B53" s="343" t="s">
        <v>121</v>
      </c>
      <c r="C53" s="343"/>
      <c r="D53" s="343"/>
      <c r="E53" s="343"/>
      <c r="F53" s="343"/>
      <c r="G53" s="343"/>
      <c r="H53" s="343"/>
      <c r="I53" s="343"/>
      <c r="J53" s="343"/>
      <c r="K53" s="343"/>
      <c r="L53" s="343"/>
      <c r="M53" s="343"/>
    </row>
    <row r="54" spans="2:13" x14ac:dyDescent="0.3">
      <c r="B54" s="343" t="s">
        <v>125</v>
      </c>
      <c r="C54" s="343"/>
      <c r="D54" s="343"/>
      <c r="E54" s="343"/>
      <c r="F54" s="343"/>
      <c r="G54" s="343"/>
      <c r="H54" s="343"/>
      <c r="I54" s="343"/>
      <c r="J54" s="343"/>
      <c r="K54" s="343"/>
      <c r="L54" s="343"/>
      <c r="M54" s="343"/>
    </row>
    <row r="56" spans="2:13" x14ac:dyDescent="0.3">
      <c r="B56" s="43" t="s">
        <v>117</v>
      </c>
    </row>
    <row r="57" spans="2:13" x14ac:dyDescent="0.3">
      <c r="B57" s="49" t="s">
        <v>118</v>
      </c>
    </row>
    <row r="58" spans="2:13" x14ac:dyDescent="0.3">
      <c r="B58" s="51" t="s">
        <v>141</v>
      </c>
    </row>
    <row r="59" spans="2:13" x14ac:dyDescent="0.3">
      <c r="B59" s="51" t="s">
        <v>142</v>
      </c>
    </row>
    <row r="60" spans="2:13" x14ac:dyDescent="0.3">
      <c r="B60" s="51" t="s">
        <v>143</v>
      </c>
    </row>
    <row r="61" spans="2:13" x14ac:dyDescent="0.3">
      <c r="B61" s="51" t="s">
        <v>144</v>
      </c>
    </row>
    <row r="62" spans="2:13" x14ac:dyDescent="0.3">
      <c r="B62" s="51" t="s">
        <v>145</v>
      </c>
    </row>
    <row r="63" spans="2:13" x14ac:dyDescent="0.3">
      <c r="B63" s="49"/>
    </row>
    <row r="64" spans="2:13" x14ac:dyDescent="0.3">
      <c r="B64" s="43" t="s">
        <v>50</v>
      </c>
    </row>
    <row r="65" spans="2:2" x14ac:dyDescent="0.3">
      <c r="B65" s="49" t="s">
        <v>146</v>
      </c>
    </row>
    <row r="66" spans="2:2" x14ac:dyDescent="0.3">
      <c r="B66" s="51" t="s">
        <v>101</v>
      </c>
    </row>
    <row r="67" spans="2:2" x14ac:dyDescent="0.3">
      <c r="B67" s="51" t="s">
        <v>147</v>
      </c>
    </row>
    <row r="68" spans="2:2" x14ac:dyDescent="0.3">
      <c r="B68" s="51" t="s">
        <v>119</v>
      </c>
    </row>
    <row r="69" spans="2:2" x14ac:dyDescent="0.3">
      <c r="B69" s="51"/>
    </row>
    <row r="70" spans="2:2" x14ac:dyDescent="0.3">
      <c r="B70" s="43" t="s">
        <v>51</v>
      </c>
    </row>
    <row r="71" spans="2:2" x14ac:dyDescent="0.3">
      <c r="B71" s="49" t="s">
        <v>148</v>
      </c>
    </row>
    <row r="72" spans="2:2" s="51" customFormat="1" x14ac:dyDescent="0.35">
      <c r="B72" s="51" t="s">
        <v>149</v>
      </c>
    </row>
    <row r="73" spans="2:2" x14ac:dyDescent="0.3">
      <c r="B73" s="49"/>
    </row>
    <row r="74" spans="2:2" x14ac:dyDescent="0.3">
      <c r="B74" s="43" t="s">
        <v>52</v>
      </c>
    </row>
    <row r="75" spans="2:2" x14ac:dyDescent="0.3">
      <c r="B75" s="49" t="s">
        <v>150</v>
      </c>
    </row>
    <row r="76" spans="2:2" x14ac:dyDescent="0.3">
      <c r="B76" s="51" t="s">
        <v>151</v>
      </c>
    </row>
    <row r="77" spans="2:2" x14ac:dyDescent="0.3">
      <c r="B77" s="51" t="s">
        <v>120</v>
      </c>
    </row>
    <row r="78" spans="2:2" x14ac:dyDescent="0.3">
      <c r="B78" s="51"/>
    </row>
    <row r="79" spans="2:2" x14ac:dyDescent="0.3">
      <c r="B79" s="10" t="s">
        <v>59</v>
      </c>
    </row>
    <row r="80" spans="2:2" x14ac:dyDescent="0.3">
      <c r="B80" s="9" t="s">
        <v>102</v>
      </c>
    </row>
    <row r="81" spans="2:4" x14ac:dyDescent="0.3">
      <c r="B81" s="51" t="s">
        <v>103</v>
      </c>
    </row>
    <row r="83" spans="2:4" x14ac:dyDescent="0.3">
      <c r="B83" s="43" t="s">
        <v>93</v>
      </c>
    </row>
    <row r="84" spans="2:4" x14ac:dyDescent="0.3">
      <c r="B84" s="49" t="s">
        <v>92</v>
      </c>
      <c r="C84" s="49"/>
      <c r="D84" s="49"/>
    </row>
    <row r="85" spans="2:4" x14ac:dyDescent="0.3">
      <c r="B85" s="51" t="s">
        <v>90</v>
      </c>
    </row>
    <row r="86" spans="2:4" x14ac:dyDescent="0.3">
      <c r="B86" s="51" t="s">
        <v>98</v>
      </c>
    </row>
    <row r="88" spans="2:4" x14ac:dyDescent="0.3">
      <c r="B88" s="10" t="s">
        <v>122</v>
      </c>
    </row>
    <row r="89" spans="2:4" x14ac:dyDescent="0.3">
      <c r="B89" s="9" t="s">
        <v>124</v>
      </c>
    </row>
    <row r="90" spans="2:4" x14ac:dyDescent="0.3">
      <c r="B90" s="51" t="s">
        <v>123</v>
      </c>
    </row>
    <row r="91" spans="2:4" x14ac:dyDescent="0.3">
      <c r="B91" s="51" t="s">
        <v>133</v>
      </c>
    </row>
    <row r="92" spans="2:4" x14ac:dyDescent="0.3">
      <c r="B92" s="51" t="s">
        <v>134</v>
      </c>
    </row>
    <row r="93" spans="2:4" x14ac:dyDescent="0.3">
      <c r="B93" s="51" t="s">
        <v>135</v>
      </c>
    </row>
    <row r="95" spans="2:4" x14ac:dyDescent="0.3">
      <c r="B95" s="43" t="s">
        <v>74</v>
      </c>
    </row>
    <row r="96" spans="2:4" x14ac:dyDescent="0.3">
      <c r="B96" s="51" t="s">
        <v>100</v>
      </c>
    </row>
    <row r="97" spans="2:3" x14ac:dyDescent="0.3">
      <c r="B97" s="51" t="s">
        <v>99</v>
      </c>
    </row>
    <row r="100" spans="2:3" ht="15.5" x14ac:dyDescent="0.3">
      <c r="C100" s="316"/>
    </row>
    <row r="101" spans="2:3" ht="15.5" x14ac:dyDescent="0.3">
      <c r="C101" s="316"/>
    </row>
    <row r="102" spans="2:3" ht="15.5" x14ac:dyDescent="0.3">
      <c r="C102" s="316"/>
    </row>
    <row r="103" spans="2:3" ht="15.5" x14ac:dyDescent="0.3">
      <c r="C103" s="316"/>
    </row>
    <row r="104" spans="2:3" ht="15.5" x14ac:dyDescent="0.35">
      <c r="C104" s="315"/>
    </row>
    <row r="105" spans="2:3" x14ac:dyDescent="0.3">
      <c r="C105" s="317"/>
    </row>
    <row r="106" spans="2:3" x14ac:dyDescent="0.3">
      <c r="C106" s="318"/>
    </row>
    <row r="107" spans="2:3" x14ac:dyDescent="0.3">
      <c r="C107" s="318"/>
    </row>
    <row r="108" spans="2:3" x14ac:dyDescent="0.3">
      <c r="C108" s="317"/>
    </row>
    <row r="109" spans="2:3" x14ac:dyDescent="0.3">
      <c r="C109" s="318"/>
    </row>
    <row r="110" spans="2:3" x14ac:dyDescent="0.3">
      <c r="C110" s="317"/>
    </row>
    <row r="111" spans="2:3" x14ac:dyDescent="0.3">
      <c r="C111" s="317"/>
    </row>
    <row r="112" spans="2:3" x14ac:dyDescent="0.3">
      <c r="C112" s="317"/>
    </row>
  </sheetData>
  <mergeCells count="10">
    <mergeCell ref="B54:M54"/>
    <mergeCell ref="B53:M53"/>
    <mergeCell ref="B33:B38"/>
    <mergeCell ref="B5:D5"/>
    <mergeCell ref="C7:D7"/>
    <mergeCell ref="B9:B15"/>
    <mergeCell ref="D9:D15"/>
    <mergeCell ref="B16:B21"/>
    <mergeCell ref="D16:D21"/>
    <mergeCell ref="B25:B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0"/>
  <sheetViews>
    <sheetView zoomScale="80" zoomScaleNormal="80" workbookViewId="0">
      <selection activeCell="C46" sqref="C46:C47"/>
    </sheetView>
  </sheetViews>
  <sheetFormatPr defaultColWidth="9.1796875" defaultRowHeight="13" x14ac:dyDescent="0.3"/>
  <cols>
    <col min="1" max="1" width="9.1796875" style="9"/>
    <col min="2" max="2" width="43.1796875" style="9" bestFit="1" customWidth="1"/>
    <col min="3" max="11" width="20.54296875" style="30" customWidth="1"/>
    <col min="12" max="15" width="20.54296875" style="9" customWidth="1"/>
    <col min="16" max="16384" width="9.1796875" style="9"/>
  </cols>
  <sheetData>
    <row r="1" spans="1:11" x14ac:dyDescent="0.3">
      <c r="A1" s="10" t="s">
        <v>105</v>
      </c>
    </row>
    <row r="2" spans="1:11" ht="13.5" thickBot="1" x14ac:dyDescent="0.35">
      <c r="A2" s="10"/>
    </row>
    <row r="3" spans="1:11" x14ac:dyDescent="0.3">
      <c r="B3" s="23" t="s">
        <v>129</v>
      </c>
      <c r="C3" s="267">
        <v>2019</v>
      </c>
      <c r="D3" s="41"/>
      <c r="E3" s="41"/>
      <c r="F3" s="41"/>
      <c r="G3" s="41"/>
      <c r="H3" s="41"/>
      <c r="I3" s="41"/>
      <c r="J3" s="41"/>
      <c r="K3" s="41"/>
    </row>
    <row r="4" spans="1:11" ht="13.5" thickBot="1" x14ac:dyDescent="0.35">
      <c r="B4" s="23" t="s">
        <v>130</v>
      </c>
      <c r="C4" s="271" t="s">
        <v>127</v>
      </c>
      <c r="D4" s="312" t="s">
        <v>126</v>
      </c>
      <c r="E4" s="312" t="s">
        <v>127</v>
      </c>
      <c r="F4" s="312" t="s">
        <v>128</v>
      </c>
      <c r="G4" s="313"/>
      <c r="H4" s="9"/>
      <c r="I4" s="9"/>
      <c r="J4" s="9"/>
      <c r="K4" s="9"/>
    </row>
    <row r="5" spans="1:11" ht="13.5" thickBot="1" x14ac:dyDescent="0.35">
      <c r="B5" s="23"/>
      <c r="D5" s="41"/>
      <c r="E5" s="41"/>
      <c r="F5" s="41"/>
      <c r="G5" s="9"/>
      <c r="H5" s="9"/>
      <c r="I5" s="9"/>
      <c r="J5" s="9"/>
      <c r="K5" s="9"/>
    </row>
    <row r="6" spans="1:11" ht="13.5" thickBot="1" x14ac:dyDescent="0.35">
      <c r="B6" s="14" t="s">
        <v>158</v>
      </c>
      <c r="C6" s="268">
        <f>C3</f>
        <v>2019</v>
      </c>
      <c r="D6" s="9"/>
      <c r="E6" s="9"/>
      <c r="F6" s="9"/>
      <c r="G6" s="9"/>
      <c r="H6" s="9"/>
      <c r="I6" s="9"/>
      <c r="J6" s="9"/>
      <c r="K6" s="9"/>
    </row>
    <row r="7" spans="1:11" x14ac:dyDescent="0.3">
      <c r="B7" s="12" t="s">
        <v>10</v>
      </c>
      <c r="C7" s="335">
        <v>7433271.5194214303</v>
      </c>
      <c r="D7" s="9"/>
      <c r="E7" s="9"/>
      <c r="F7" s="9"/>
      <c r="G7" s="9"/>
      <c r="H7" s="9"/>
      <c r="I7" s="9"/>
      <c r="J7" s="9"/>
      <c r="K7" s="9"/>
    </row>
    <row r="8" spans="1:11" ht="13.5" thickBot="1" x14ac:dyDescent="0.35">
      <c r="B8" s="13" t="s">
        <v>11</v>
      </c>
      <c r="C8" s="320">
        <v>576</v>
      </c>
      <c r="D8" s="9"/>
      <c r="E8" s="9"/>
      <c r="F8" s="9"/>
      <c r="G8" s="9"/>
      <c r="H8" s="9"/>
      <c r="I8" s="9"/>
      <c r="J8" s="9"/>
      <c r="K8" s="9"/>
    </row>
    <row r="9" spans="1:11" ht="13.5" thickBot="1" x14ac:dyDescent="0.35">
      <c r="B9" s="266" t="s">
        <v>12</v>
      </c>
      <c r="C9" s="269">
        <f>IFERROR(C7/C8,0)</f>
        <v>12904.985276773317</v>
      </c>
      <c r="D9" s="9"/>
      <c r="E9" s="9"/>
      <c r="F9" s="9"/>
      <c r="G9" s="9"/>
      <c r="H9" s="9"/>
      <c r="I9" s="9"/>
      <c r="J9" s="9"/>
      <c r="K9" s="9"/>
    </row>
    <row r="10" spans="1:11" x14ac:dyDescent="0.3">
      <c r="B10" s="120"/>
      <c r="C10" s="121"/>
      <c r="D10" s="9"/>
      <c r="E10" s="9"/>
      <c r="F10" s="9"/>
      <c r="G10" s="9"/>
      <c r="H10" s="9"/>
      <c r="I10" s="9"/>
      <c r="J10" s="9"/>
      <c r="K10" s="9"/>
    </row>
    <row r="11" spans="1:11" ht="13.5" thickBot="1" x14ac:dyDescent="0.35">
      <c r="B11" s="14" t="s">
        <v>159</v>
      </c>
      <c r="C11" s="113"/>
      <c r="D11" s="9"/>
      <c r="E11" s="9"/>
      <c r="F11" s="9"/>
      <c r="G11" s="9"/>
      <c r="H11" s="9"/>
      <c r="I11" s="9"/>
      <c r="J11" s="9"/>
      <c r="K11" s="9"/>
    </row>
    <row r="12" spans="1:11" x14ac:dyDescent="0.3">
      <c r="B12" s="12" t="s">
        <v>10</v>
      </c>
      <c r="C12" s="335">
        <v>4084730.1698910827</v>
      </c>
      <c r="D12" s="9"/>
      <c r="E12" s="9"/>
      <c r="F12" s="9"/>
      <c r="G12" s="9"/>
      <c r="H12" s="9"/>
      <c r="I12" s="9"/>
      <c r="J12" s="9"/>
      <c r="K12" s="9"/>
    </row>
    <row r="13" spans="1:11" ht="13.5" thickBot="1" x14ac:dyDescent="0.35">
      <c r="B13" s="13" t="s">
        <v>11</v>
      </c>
      <c r="C13" s="320">
        <v>330</v>
      </c>
      <c r="D13" s="9"/>
      <c r="E13" s="10"/>
      <c r="F13" s="9"/>
      <c r="G13" s="9"/>
      <c r="H13" s="9"/>
      <c r="I13" s="9"/>
      <c r="J13" s="9"/>
      <c r="K13" s="9"/>
    </row>
    <row r="14" spans="1:11" ht="13.5" thickBot="1" x14ac:dyDescent="0.35">
      <c r="B14" s="266" t="s">
        <v>12</v>
      </c>
      <c r="C14" s="269">
        <f>IFERROR(C12/C13,0)</f>
        <v>12377.97021179116</v>
      </c>
      <c r="D14" s="9"/>
      <c r="E14" s="9"/>
      <c r="F14" s="9"/>
      <c r="G14" s="9"/>
      <c r="H14" s="9"/>
      <c r="I14" s="9"/>
      <c r="J14" s="9"/>
      <c r="K14" s="9"/>
    </row>
    <row r="15" spans="1:11" x14ac:dyDescent="0.3">
      <c r="B15" s="23"/>
      <c r="D15" s="41"/>
      <c r="E15" s="41"/>
      <c r="F15" s="41"/>
      <c r="G15" s="9"/>
      <c r="H15" s="9"/>
      <c r="I15" s="9"/>
      <c r="J15" s="9"/>
      <c r="K15" s="9"/>
    </row>
    <row r="16" spans="1:11" ht="13.5" thickBot="1" x14ac:dyDescent="0.35">
      <c r="B16" s="14" t="s">
        <v>156</v>
      </c>
      <c r="C16" s="9"/>
      <c r="D16" s="9"/>
      <c r="E16" s="9"/>
      <c r="F16" s="9"/>
      <c r="G16" s="9"/>
      <c r="H16" s="9"/>
      <c r="I16" s="9"/>
      <c r="J16" s="9"/>
      <c r="K16" s="9"/>
    </row>
    <row r="17" spans="2:11" x14ac:dyDescent="0.3">
      <c r="B17" s="12" t="s">
        <v>10</v>
      </c>
      <c r="C17" s="335">
        <v>712986.1399999999</v>
      </c>
      <c r="D17" s="9"/>
      <c r="E17" s="9"/>
      <c r="F17" s="9"/>
      <c r="G17" s="9"/>
      <c r="H17" s="9"/>
      <c r="I17" s="9"/>
      <c r="J17" s="9"/>
      <c r="K17" s="9"/>
    </row>
    <row r="18" spans="2:11" ht="13.5" thickBot="1" x14ac:dyDescent="0.35">
      <c r="B18" s="13" t="s">
        <v>11</v>
      </c>
      <c r="C18" s="320">
        <v>669</v>
      </c>
      <c r="D18" s="9"/>
      <c r="E18" s="9"/>
      <c r="F18" s="9"/>
      <c r="G18" s="9"/>
      <c r="H18" s="9"/>
      <c r="I18" s="9"/>
      <c r="J18" s="9"/>
      <c r="K18" s="9"/>
    </row>
    <row r="19" spans="2:11" ht="13.5" thickBot="1" x14ac:dyDescent="0.35">
      <c r="B19" s="266" t="s">
        <v>12</v>
      </c>
      <c r="C19" s="269">
        <f>IFERROR(C17/C18,0)</f>
        <v>1065.7490881913302</v>
      </c>
      <c r="D19" s="9"/>
      <c r="E19" s="9"/>
      <c r="F19" s="9"/>
      <c r="G19" s="9"/>
      <c r="H19" s="9"/>
      <c r="I19" s="9"/>
      <c r="J19" s="9"/>
      <c r="K19" s="9"/>
    </row>
    <row r="20" spans="2:11" x14ac:dyDescent="0.3">
      <c r="B20" s="120"/>
      <c r="C20" s="121"/>
      <c r="D20" s="9"/>
      <c r="E20" s="9"/>
      <c r="F20" s="9"/>
      <c r="G20" s="9"/>
      <c r="H20" s="9"/>
      <c r="I20" s="9"/>
      <c r="J20" s="9"/>
      <c r="K20" s="9"/>
    </row>
    <row r="21" spans="2:11" ht="13.5" thickBot="1" x14ac:dyDescent="0.35">
      <c r="B21" s="14" t="s">
        <v>157</v>
      </c>
      <c r="C21" s="113"/>
      <c r="D21" s="9"/>
      <c r="E21" s="9"/>
      <c r="F21" s="9"/>
      <c r="G21" s="9"/>
      <c r="H21" s="9"/>
      <c r="I21" s="9"/>
      <c r="J21" s="9"/>
      <c r="K21" s="9"/>
    </row>
    <row r="22" spans="2:11" x14ac:dyDescent="0.3">
      <c r="B22" s="12" t="s">
        <v>10</v>
      </c>
      <c r="C22" s="335">
        <v>5196039.2500000009</v>
      </c>
      <c r="D22" s="9"/>
      <c r="E22" s="9"/>
      <c r="F22" s="9"/>
      <c r="G22" s="9"/>
      <c r="H22" s="9"/>
      <c r="I22" s="9"/>
      <c r="J22" s="9"/>
      <c r="K22" s="9"/>
    </row>
    <row r="23" spans="2:11" ht="13.5" thickBot="1" x14ac:dyDescent="0.35">
      <c r="B23" s="13" t="s">
        <v>11</v>
      </c>
      <c r="C23" s="320">
        <v>4518</v>
      </c>
      <c r="D23" s="9"/>
      <c r="E23" s="10"/>
      <c r="F23" s="9"/>
      <c r="G23" s="9"/>
      <c r="H23" s="9"/>
      <c r="I23" s="9"/>
      <c r="J23" s="9"/>
      <c r="K23" s="9"/>
    </row>
    <row r="24" spans="2:11" ht="13.5" thickBot="1" x14ac:dyDescent="0.35">
      <c r="B24" s="266" t="s">
        <v>12</v>
      </c>
      <c r="C24" s="269">
        <f>IFERROR(C22/C23,0)</f>
        <v>1150.0750885347502</v>
      </c>
      <c r="D24" s="9"/>
      <c r="E24" s="9"/>
      <c r="F24" s="9"/>
      <c r="G24" s="9"/>
      <c r="H24" s="9"/>
      <c r="I24" s="9"/>
      <c r="J24" s="9"/>
      <c r="K24" s="9"/>
    </row>
    <row r="25" spans="2:11" x14ac:dyDescent="0.3">
      <c r="B25" s="120"/>
      <c r="C25" s="121"/>
      <c r="D25" s="9"/>
      <c r="E25" s="9"/>
      <c r="F25" s="9"/>
      <c r="G25" s="9"/>
      <c r="H25" s="9"/>
      <c r="I25" s="9"/>
      <c r="J25" s="9"/>
      <c r="K25" s="9"/>
    </row>
    <row r="26" spans="2:11" ht="13.5" thickBot="1" x14ac:dyDescent="0.35">
      <c r="B26" s="14" t="s">
        <v>155</v>
      </c>
      <c r="C26" s="113"/>
      <c r="D26" s="9"/>
      <c r="E26" s="9"/>
      <c r="F26" s="9"/>
      <c r="G26" s="9"/>
      <c r="H26" s="9"/>
      <c r="I26" s="9"/>
      <c r="J26" s="9"/>
      <c r="K26" s="9"/>
    </row>
    <row r="27" spans="2:11" x14ac:dyDescent="0.3">
      <c r="B27" s="12" t="s">
        <v>10</v>
      </c>
      <c r="C27" s="335">
        <v>103726.51</v>
      </c>
      <c r="D27" s="9"/>
      <c r="E27" s="9"/>
      <c r="F27" s="9"/>
      <c r="G27" s="9"/>
      <c r="H27" s="9"/>
      <c r="I27" s="9"/>
      <c r="J27" s="9"/>
      <c r="K27" s="9"/>
    </row>
    <row r="28" spans="2:11" ht="13.5" thickBot="1" x14ac:dyDescent="0.35">
      <c r="B28" s="13" t="s">
        <v>11</v>
      </c>
      <c r="C28" s="320">
        <v>93</v>
      </c>
      <c r="D28" s="9"/>
      <c r="E28" s="10"/>
      <c r="F28" s="9"/>
      <c r="G28" s="9"/>
      <c r="H28" s="9"/>
      <c r="I28" s="9"/>
      <c r="J28" s="9"/>
      <c r="K28" s="9"/>
    </row>
    <row r="29" spans="2:11" s="67" customFormat="1" ht="13.5" thickBot="1" x14ac:dyDescent="0.35">
      <c r="B29" s="266" t="s">
        <v>12</v>
      </c>
      <c r="C29" s="269">
        <f>IFERROR(C27/C28,0)</f>
        <v>1115.338817204301</v>
      </c>
      <c r="D29" s="66"/>
      <c r="E29" s="9"/>
    </row>
    <row r="30" spans="2:11" x14ac:dyDescent="0.3">
      <c r="B30" s="120"/>
      <c r="C30" s="121"/>
      <c r="D30" s="9"/>
      <c r="E30" s="9"/>
      <c r="F30" s="9"/>
      <c r="G30" s="9"/>
      <c r="H30" s="9"/>
      <c r="I30" s="9"/>
      <c r="J30" s="9"/>
      <c r="K30" s="9"/>
    </row>
    <row r="31" spans="2:11" ht="13.5" thickBot="1" x14ac:dyDescent="0.35">
      <c r="B31" s="14" t="s">
        <v>161</v>
      </c>
      <c r="C31" s="113"/>
      <c r="D31" s="9"/>
      <c r="E31" s="9"/>
      <c r="F31" s="9"/>
      <c r="G31" s="9"/>
      <c r="H31" s="9"/>
      <c r="I31" s="9"/>
      <c r="J31" s="9"/>
      <c r="K31" s="9"/>
    </row>
    <row r="32" spans="2:11" x14ac:dyDescent="0.3">
      <c r="B32" s="12" t="s">
        <v>10</v>
      </c>
      <c r="C32" s="338">
        <v>0</v>
      </c>
      <c r="D32" s="9"/>
      <c r="E32" s="9"/>
      <c r="F32" s="9"/>
      <c r="G32" s="9"/>
      <c r="H32" s="9"/>
      <c r="I32" s="9"/>
      <c r="J32" s="9"/>
      <c r="K32" s="9"/>
    </row>
    <row r="33" spans="2:15" ht="13.5" thickBot="1" x14ac:dyDescent="0.35">
      <c r="B33" s="13" t="s">
        <v>11</v>
      </c>
      <c r="C33" s="320">
        <f>F49</f>
        <v>33639.843154855094</v>
      </c>
      <c r="D33" s="9"/>
      <c r="E33" s="10"/>
      <c r="F33" s="9"/>
      <c r="G33" s="9"/>
      <c r="H33" s="9"/>
      <c r="I33" s="9"/>
      <c r="J33" s="9"/>
      <c r="K33" s="9"/>
    </row>
    <row r="34" spans="2:15" s="67" customFormat="1" ht="39.5" thickBot="1" x14ac:dyDescent="0.35">
      <c r="B34" s="266" t="s">
        <v>12</v>
      </c>
      <c r="C34" s="269">
        <f>IFERROR(C32/C33,0)</f>
        <v>0</v>
      </c>
      <c r="D34" s="66"/>
      <c r="E34" s="70" t="s">
        <v>97</v>
      </c>
    </row>
    <row r="35" spans="2:15" ht="13.5" thickBot="1" x14ac:dyDescent="0.35">
      <c r="B35" s="185" t="s">
        <v>79</v>
      </c>
      <c r="D35" s="321" t="str">
        <f>B44</f>
        <v>Medicaid Adults (Non-Group VIII Adults) - SMI</v>
      </c>
      <c r="E35" s="322">
        <v>1446.5586107021784</v>
      </c>
    </row>
    <row r="36" spans="2:15" ht="13.5" thickBot="1" x14ac:dyDescent="0.35">
      <c r="B36" s="185"/>
      <c r="D36" s="321" t="str">
        <f t="shared" ref="D36:D39" si="0">B45</f>
        <v>Expansion Adults (VIII Adults) - SMI</v>
      </c>
      <c r="E36" s="322">
        <v>1552.2143873204752</v>
      </c>
      <c r="H36" s="9"/>
      <c r="I36" s="9"/>
      <c r="J36" s="9"/>
      <c r="K36" s="9"/>
    </row>
    <row r="37" spans="2:15" ht="13.5" thickBot="1" x14ac:dyDescent="0.35">
      <c r="B37" s="185"/>
      <c r="D37" s="321" t="str">
        <f t="shared" si="0"/>
        <v>Medicaid Adults (Non-Group VIII Adults) - SUD</v>
      </c>
      <c r="E37" s="322">
        <v>1325.0956709191923</v>
      </c>
      <c r="H37" s="9"/>
      <c r="I37" s="9"/>
      <c r="J37" s="9"/>
      <c r="K37" s="9"/>
    </row>
    <row r="38" spans="2:15" ht="13.5" thickBot="1" x14ac:dyDescent="0.35">
      <c r="B38" s="185"/>
      <c r="D38" s="321" t="str">
        <f t="shared" si="0"/>
        <v>Expansion Adults (VIII Adults) - SUD</v>
      </c>
      <c r="E38" s="322">
        <v>1156.1902231638469</v>
      </c>
      <c r="H38" s="9"/>
      <c r="I38" s="9"/>
      <c r="J38" s="9"/>
      <c r="K38" s="9"/>
    </row>
    <row r="39" spans="2:15" ht="15" thickBot="1" x14ac:dyDescent="0.35">
      <c r="B39" s="270"/>
      <c r="C39" s="43"/>
      <c r="D39" s="321" t="str">
        <f t="shared" si="0"/>
        <v>Adolescents - SUD</v>
      </c>
      <c r="E39" s="322">
        <v>974.56086524710236</v>
      </c>
      <c r="H39" s="359" t="s">
        <v>160</v>
      </c>
      <c r="I39" s="360"/>
      <c r="J39" s="360"/>
      <c r="K39" s="360"/>
      <c r="L39" s="360"/>
      <c r="M39" s="360"/>
      <c r="N39" s="360"/>
      <c r="O39" s="361"/>
    </row>
    <row r="40" spans="2:15" ht="15" thickBot="1" x14ac:dyDescent="0.35">
      <c r="B40" s="270"/>
      <c r="C40" s="43"/>
      <c r="D40" s="321" t="str">
        <f t="shared" ref="D40" si="1">B49</f>
        <v>Non-Qualified Waiver Nursing Facility Population</v>
      </c>
      <c r="E40" s="339">
        <v>0</v>
      </c>
      <c r="H40" s="356" t="s">
        <v>67</v>
      </c>
      <c r="I40" s="357"/>
      <c r="J40" s="357"/>
      <c r="K40" s="357"/>
      <c r="L40" s="357"/>
      <c r="M40" s="357"/>
      <c r="N40" s="357"/>
      <c r="O40" s="358"/>
    </row>
    <row r="41" spans="2:15" ht="26.5" thickBot="1" x14ac:dyDescent="0.35">
      <c r="B41" s="263" t="s">
        <v>154</v>
      </c>
      <c r="C41" s="354" t="s">
        <v>94</v>
      </c>
      <c r="D41" s="355"/>
      <c r="E41" s="181"/>
      <c r="F41" s="265"/>
      <c r="G41" s="262"/>
      <c r="H41" s="356" t="s">
        <v>68</v>
      </c>
      <c r="I41" s="357"/>
      <c r="J41" s="357"/>
      <c r="K41" s="357"/>
      <c r="L41" s="358"/>
      <c r="M41" s="336"/>
      <c r="N41" s="356" t="s">
        <v>69</v>
      </c>
      <c r="O41" s="358"/>
    </row>
    <row r="42" spans="2:15" ht="91.5" thickBot="1" x14ac:dyDescent="0.35">
      <c r="B42" s="70" t="s">
        <v>78</v>
      </c>
      <c r="C42" s="129" t="s">
        <v>95</v>
      </c>
      <c r="D42" s="70" t="s">
        <v>152</v>
      </c>
      <c r="E42" s="70" t="s">
        <v>96</v>
      </c>
      <c r="F42" s="70" t="s">
        <v>75</v>
      </c>
      <c r="G42" s="70" t="s">
        <v>91</v>
      </c>
      <c r="H42" s="70" t="str">
        <f>B6</f>
        <v>Medicaid Adults (Non-Group VIII Adults) - SMI</v>
      </c>
      <c r="I42" s="70" t="str">
        <f>B11</f>
        <v>Expansion Adults (VIII Adults) - SMI</v>
      </c>
      <c r="J42" s="70" t="str">
        <f>B16</f>
        <v>Medicaid Adults (Non-Group VIII Adults) - SUD</v>
      </c>
      <c r="K42" s="70" t="str">
        <f>B21</f>
        <v>Expansion Adults (VIII Adults) - SUD</v>
      </c>
      <c r="L42" s="70" t="str">
        <f>B26</f>
        <v>Adolescents - SUD</v>
      </c>
      <c r="M42" s="337" t="str">
        <f>B31</f>
        <v>Non-Qualified Waiver Nursing Facility Population</v>
      </c>
      <c r="N42" s="131" t="s">
        <v>138</v>
      </c>
      <c r="O42" s="135" t="s">
        <v>137</v>
      </c>
    </row>
    <row r="43" spans="2:15" ht="13.5" thickBot="1" x14ac:dyDescent="0.35">
      <c r="B43" s="108"/>
      <c r="C43" s="78"/>
      <c r="D43" s="108"/>
      <c r="E43" s="108"/>
      <c r="F43" s="250"/>
      <c r="G43" s="250"/>
      <c r="H43" s="136"/>
      <c r="I43" s="136"/>
      <c r="J43" s="136"/>
      <c r="K43" s="136"/>
      <c r="L43" s="136"/>
      <c r="M43" s="136"/>
      <c r="N43" s="69"/>
      <c r="O43" s="136"/>
    </row>
    <row r="44" spans="2:15" x14ac:dyDescent="0.3">
      <c r="B44" s="109" t="str">
        <f>B6</f>
        <v>Medicaid Adults (Non-Group VIII Adults) - SMI</v>
      </c>
      <c r="C44" s="323">
        <v>0</v>
      </c>
      <c r="D44" s="325">
        <v>4287992880.9561839</v>
      </c>
      <c r="E44" s="247">
        <f>$E$35*F44</f>
        <v>743008900.18061221</v>
      </c>
      <c r="F44" s="327">
        <v>513638.98751392175</v>
      </c>
      <c r="G44" s="257">
        <f t="shared" ref="G44:G58" si="2">(C44+E44+D44)/F44</f>
        <v>9794.8206881402966</v>
      </c>
      <c r="H44" s="254" t="s">
        <v>66</v>
      </c>
      <c r="I44" s="254"/>
      <c r="J44" s="254"/>
      <c r="K44" s="254"/>
      <c r="L44" s="137"/>
      <c r="M44" s="137"/>
      <c r="N44" s="132"/>
      <c r="O44" s="137"/>
    </row>
    <row r="45" spans="2:15" x14ac:dyDescent="0.3">
      <c r="B45" s="110" t="str">
        <f>B11</f>
        <v>Expansion Adults (VIII Adults) - SMI</v>
      </c>
      <c r="C45" s="324">
        <v>0</v>
      </c>
      <c r="D45" s="326">
        <v>4248357532.9811726</v>
      </c>
      <c r="E45" s="248">
        <f>$E$36*F45</f>
        <v>1239103705.8007038</v>
      </c>
      <c r="F45" s="328">
        <v>798281.29150362941</v>
      </c>
      <c r="G45" s="258">
        <f t="shared" si="2"/>
        <v>6874.094754802265</v>
      </c>
      <c r="H45" s="255"/>
      <c r="I45" s="255" t="s">
        <v>66</v>
      </c>
      <c r="J45" s="255"/>
      <c r="K45" s="255"/>
      <c r="L45" s="138"/>
      <c r="M45" s="138"/>
      <c r="N45" s="133"/>
      <c r="O45" s="138"/>
    </row>
    <row r="46" spans="2:15" x14ac:dyDescent="0.3">
      <c r="B46" s="110" t="str">
        <f>B16</f>
        <v>Medicaid Adults (Non-Group VIII Adults) - SUD</v>
      </c>
      <c r="C46" s="324">
        <v>153369344.99670675</v>
      </c>
      <c r="D46" s="329">
        <v>0</v>
      </c>
      <c r="E46" s="248">
        <f>$E$37*F46</f>
        <v>680620798.77001476</v>
      </c>
      <c r="F46" s="251">
        <f>F44</f>
        <v>513638.98751392175</v>
      </c>
      <c r="G46" s="258">
        <f>(C46+E46+D46)/F46</f>
        <v>1623.6893305224751</v>
      </c>
      <c r="H46" s="255"/>
      <c r="I46" s="255"/>
      <c r="J46" s="255" t="s">
        <v>66</v>
      </c>
      <c r="K46" s="255"/>
      <c r="L46" s="138"/>
      <c r="M46" s="138"/>
      <c r="N46" s="133"/>
      <c r="O46" s="138"/>
    </row>
    <row r="47" spans="2:15" x14ac:dyDescent="0.3">
      <c r="B47" s="110" t="str">
        <f>B21</f>
        <v>Expansion Adults (VIII Adults) - SUD</v>
      </c>
      <c r="C47" s="324">
        <v>60404766.752876639</v>
      </c>
      <c r="D47" s="329">
        <v>0</v>
      </c>
      <c r="E47" s="248">
        <f>$E$38*F47</f>
        <v>922965024.57110524</v>
      </c>
      <c r="F47" s="251">
        <f>F45</f>
        <v>798281.29150362941</v>
      </c>
      <c r="G47" s="258">
        <f t="shared" si="2"/>
        <v>1231.8587467729863</v>
      </c>
      <c r="H47" s="255"/>
      <c r="I47" s="255"/>
      <c r="J47" s="255"/>
      <c r="K47" s="255" t="s">
        <v>66</v>
      </c>
      <c r="L47" s="138"/>
      <c r="M47" s="138"/>
      <c r="N47" s="133"/>
      <c r="O47" s="138"/>
    </row>
    <row r="48" spans="2:15" x14ac:dyDescent="0.3">
      <c r="B48" s="110" t="str">
        <f>B26</f>
        <v>Adolescents - SUD</v>
      </c>
      <c r="C48" s="324">
        <v>-1.3282655765202453E-7</v>
      </c>
      <c r="D48" s="329">
        <v>0</v>
      </c>
      <c r="E48" s="248">
        <f>$E$39*F48</f>
        <v>1138632822.8262298</v>
      </c>
      <c r="F48" s="328">
        <v>1168354.7569268816</v>
      </c>
      <c r="G48" s="258">
        <f t="shared" si="2"/>
        <v>974.56086524710224</v>
      </c>
      <c r="H48" s="255"/>
      <c r="I48" s="255"/>
      <c r="J48" s="255"/>
      <c r="K48" s="255"/>
      <c r="L48" s="138" t="s">
        <v>66</v>
      </c>
      <c r="M48" s="138"/>
      <c r="N48" s="133"/>
      <c r="O48" s="138"/>
    </row>
    <row r="49" spans="2:15" x14ac:dyDescent="0.3">
      <c r="B49" s="110" t="str">
        <f>B31</f>
        <v>Non-Qualified Waiver Nursing Facility Population</v>
      </c>
      <c r="C49" s="329">
        <v>0</v>
      </c>
      <c r="D49" s="324">
        <v>47109.984432203892</v>
      </c>
      <c r="E49" s="248">
        <f>$E$40*F49</f>
        <v>0</v>
      </c>
      <c r="F49" s="328">
        <v>33639.843154855094</v>
      </c>
      <c r="G49" s="258">
        <f t="shared" ref="G49" si="3">(C49+E49+D49)/F49</f>
        <v>1.4004222378606634</v>
      </c>
      <c r="H49" s="255"/>
      <c r="I49" s="255"/>
      <c r="J49" s="255"/>
      <c r="K49" s="255"/>
      <c r="L49" s="138"/>
      <c r="M49" s="138" t="s">
        <v>66</v>
      </c>
      <c r="N49" s="133"/>
      <c r="O49" s="138"/>
    </row>
    <row r="50" spans="2:15" x14ac:dyDescent="0.3">
      <c r="B50" s="110" t="s">
        <v>63</v>
      </c>
      <c r="C50" s="244"/>
      <c r="D50" s="241"/>
      <c r="E50" s="248">
        <f t="shared" ref="E50:E58" si="4">$E$41*F50</f>
        <v>0</v>
      </c>
      <c r="F50" s="251"/>
      <c r="G50" s="258" t="e">
        <f t="shared" si="2"/>
        <v>#DIV/0!</v>
      </c>
      <c r="H50" s="255"/>
      <c r="I50" s="255"/>
      <c r="J50" s="255"/>
      <c r="K50" s="255"/>
      <c r="L50" s="138"/>
      <c r="M50" s="138"/>
      <c r="N50" s="133"/>
      <c r="O50" s="138"/>
    </row>
    <row r="51" spans="2:15" x14ac:dyDescent="0.3">
      <c r="B51" s="110" t="s">
        <v>64</v>
      </c>
      <c r="C51" s="244"/>
      <c r="D51" s="241"/>
      <c r="E51" s="248">
        <f t="shared" si="4"/>
        <v>0</v>
      </c>
      <c r="F51" s="251"/>
      <c r="G51" s="258" t="e">
        <f t="shared" si="2"/>
        <v>#DIV/0!</v>
      </c>
      <c r="H51" s="255"/>
      <c r="I51" s="255"/>
      <c r="J51" s="255"/>
      <c r="K51" s="255"/>
      <c r="L51" s="138"/>
      <c r="M51" s="138"/>
      <c r="N51" s="133"/>
      <c r="O51" s="138"/>
    </row>
    <row r="52" spans="2:15" x14ac:dyDescent="0.3">
      <c r="B52" s="110" t="s">
        <v>53</v>
      </c>
      <c r="C52" s="244"/>
      <c r="D52" s="241"/>
      <c r="E52" s="248">
        <f t="shared" si="4"/>
        <v>0</v>
      </c>
      <c r="F52" s="251"/>
      <c r="G52" s="258" t="e">
        <f t="shared" si="2"/>
        <v>#DIV/0!</v>
      </c>
      <c r="H52" s="255"/>
      <c r="I52" s="255"/>
      <c r="J52" s="255"/>
      <c r="K52" s="255"/>
      <c r="L52" s="138"/>
      <c r="M52" s="138"/>
      <c r="N52" s="133"/>
      <c r="O52" s="138"/>
    </row>
    <row r="53" spans="2:15" x14ac:dyDescent="0.3">
      <c r="B53" s="110" t="s">
        <v>54</v>
      </c>
      <c r="C53" s="244"/>
      <c r="D53" s="241"/>
      <c r="E53" s="248">
        <f t="shared" si="4"/>
        <v>0</v>
      </c>
      <c r="F53" s="251"/>
      <c r="G53" s="258" t="e">
        <f t="shared" si="2"/>
        <v>#DIV/0!</v>
      </c>
      <c r="H53" s="255"/>
      <c r="I53" s="255"/>
      <c r="J53" s="255"/>
      <c r="K53" s="255"/>
      <c r="L53" s="138"/>
      <c r="M53" s="138"/>
      <c r="N53" s="133"/>
      <c r="O53" s="138"/>
    </row>
    <row r="54" spans="2:15" x14ac:dyDescent="0.3">
      <c r="B54" s="110" t="s">
        <v>55</v>
      </c>
      <c r="C54" s="244"/>
      <c r="D54" s="241"/>
      <c r="E54" s="248">
        <f t="shared" si="4"/>
        <v>0</v>
      </c>
      <c r="F54" s="251"/>
      <c r="G54" s="258" t="e">
        <f t="shared" si="2"/>
        <v>#DIV/0!</v>
      </c>
      <c r="H54" s="255"/>
      <c r="I54" s="255"/>
      <c r="J54" s="255"/>
      <c r="K54" s="255"/>
      <c r="L54" s="138"/>
      <c r="M54" s="138"/>
      <c r="N54" s="133"/>
      <c r="O54" s="138"/>
    </row>
    <row r="55" spans="2:15" x14ac:dyDescent="0.3">
      <c r="B55" s="110" t="s">
        <v>60</v>
      </c>
      <c r="C55" s="245"/>
      <c r="D55" s="242"/>
      <c r="E55" s="248">
        <f t="shared" si="4"/>
        <v>0</v>
      </c>
      <c r="F55" s="252"/>
      <c r="G55" s="258" t="e">
        <f t="shared" si="2"/>
        <v>#DIV/0!</v>
      </c>
      <c r="H55" s="255"/>
      <c r="I55" s="255"/>
      <c r="J55" s="255"/>
      <c r="K55" s="255"/>
      <c r="L55" s="138"/>
      <c r="M55" s="138"/>
      <c r="N55" s="133"/>
      <c r="O55" s="138"/>
    </row>
    <row r="56" spans="2:15" x14ac:dyDescent="0.3">
      <c r="B56" s="110" t="s">
        <v>61</v>
      </c>
      <c r="C56" s="245"/>
      <c r="D56" s="242"/>
      <c r="E56" s="248">
        <f t="shared" si="4"/>
        <v>0</v>
      </c>
      <c r="F56" s="252"/>
      <c r="G56" s="258" t="e">
        <f t="shared" si="2"/>
        <v>#DIV/0!</v>
      </c>
      <c r="H56" s="255"/>
      <c r="I56" s="255"/>
      <c r="J56" s="255"/>
      <c r="K56" s="255"/>
      <c r="L56" s="138"/>
      <c r="M56" s="138"/>
      <c r="N56" s="133"/>
      <c r="O56" s="138"/>
    </row>
    <row r="57" spans="2:15" x14ac:dyDescent="0.3">
      <c r="B57" s="110" t="s">
        <v>62</v>
      </c>
      <c r="C57" s="245"/>
      <c r="D57" s="242"/>
      <c r="E57" s="248">
        <f t="shared" si="4"/>
        <v>0</v>
      </c>
      <c r="F57" s="252"/>
      <c r="G57" s="258" t="e">
        <f t="shared" si="2"/>
        <v>#DIV/0!</v>
      </c>
      <c r="H57" s="255"/>
      <c r="I57" s="255"/>
      <c r="J57" s="255"/>
      <c r="K57" s="255"/>
      <c r="L57" s="138"/>
      <c r="M57" s="138"/>
      <c r="N57" s="133"/>
      <c r="O57" s="138"/>
    </row>
    <row r="58" spans="2:15" ht="13.5" thickBot="1" x14ac:dyDescent="0.35">
      <c r="B58" s="111" t="s">
        <v>56</v>
      </c>
      <c r="C58" s="246"/>
      <c r="D58" s="243"/>
      <c r="E58" s="249">
        <f t="shared" si="4"/>
        <v>0</v>
      </c>
      <c r="F58" s="253"/>
      <c r="G58" s="259" t="e">
        <f t="shared" si="2"/>
        <v>#DIV/0!</v>
      </c>
      <c r="H58" s="256"/>
      <c r="I58" s="256"/>
      <c r="J58" s="256"/>
      <c r="K58" s="256"/>
      <c r="L58" s="139"/>
      <c r="M58" s="139"/>
      <c r="N58" s="134"/>
      <c r="O58" s="139"/>
    </row>
    <row r="59" spans="2:15" ht="13.5" thickBot="1" x14ac:dyDescent="0.35">
      <c r="F59" s="71"/>
      <c r="G59" s="183" t="s">
        <v>66</v>
      </c>
      <c r="H59" s="68"/>
      <c r="I59" s="68"/>
      <c r="J59" s="68"/>
      <c r="K59" s="68"/>
      <c r="L59" s="130"/>
      <c r="M59" s="130"/>
      <c r="N59" s="140"/>
    </row>
    <row r="60" spans="2:15" ht="13.5" thickBot="1" x14ac:dyDescent="0.35">
      <c r="B60" s="112" t="s">
        <v>57</v>
      </c>
      <c r="C60" s="260"/>
      <c r="D60" s="261"/>
      <c r="E60" s="261"/>
      <c r="F60" s="261"/>
      <c r="G60" s="262"/>
      <c r="H60" s="72">
        <f>SUMIF(H44:H58,"Included",G44:G58)</f>
        <v>9794.8206881402966</v>
      </c>
      <c r="I60" s="73">
        <f>SUMIF(I44:I58,"Included",G44:G58)</f>
        <v>6874.094754802265</v>
      </c>
      <c r="J60" s="73">
        <f>SUMIF(J44:J58,"Included",G44:G58)</f>
        <v>1623.6893305224751</v>
      </c>
      <c r="K60" s="73">
        <f>SUMIF(K44:K58,"Included",G44:G58)</f>
        <v>1231.8587467729863</v>
      </c>
      <c r="L60" s="74">
        <f>SUMIF(L44:L58,"Included",G44:G58)</f>
        <v>974.56086524710224</v>
      </c>
      <c r="M60" s="74">
        <f>SUMIF(M44:M58,"Included",G44:G58)</f>
        <v>1.4004222378606634</v>
      </c>
      <c r="N60" s="145">
        <f>SUMIF(N44:N58,"Included",G44:G58)</f>
        <v>0</v>
      </c>
      <c r="O60" s="141">
        <f>SUMIF(O44:O58,"Included",G44:G58)</f>
        <v>0</v>
      </c>
    </row>
  </sheetData>
  <mergeCells count="5">
    <mergeCell ref="C41:D41"/>
    <mergeCell ref="H41:L41"/>
    <mergeCell ref="N41:O41"/>
    <mergeCell ref="H39:O39"/>
    <mergeCell ref="H40:O40"/>
  </mergeCells>
  <dataValidations count="2">
    <dataValidation type="list" allowBlank="1" showInputMessage="1" showErrorMessage="1" sqref="H44:O58" xr:uid="{00000000-0002-0000-0100-000000000000}">
      <formula1>$G$59:$H$59</formula1>
    </dataValidation>
    <dataValidation type="list" allowBlank="1" showInputMessage="1" showErrorMessage="1" promptTitle="Choose" sqref="C4" xr:uid="{00000000-0002-0000-0100-000001000000}">
      <formula1>$D$4:$F$4</formula1>
    </dataValidation>
  </dataValidations>
  <pageMargins left="0.7" right="0.7" top="0.75" bottom="0.75" header="0.3" footer="0.3"/>
  <pageSetup orientation="portrait" r:id="rId1"/>
  <ignoredErrors>
    <ignoredError sqref="C35 N59 F51:F58 I44 N43:O43 F41 N50:O58 N48:O48 O44 C50:C59 C43 C10:C11 D25:F28 C25:C26 H45 D29 F29 L35 N45 E50:E59 G44:G45 D9:F14 G35:I35 G50:I58 E43:I43 F59:I59 H42:I42 L45 L42:L43 L50:L59"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7"/>
  <sheetViews>
    <sheetView zoomScale="110" zoomScaleNormal="110" workbookViewId="0">
      <selection activeCell="F37" sqref="F37:J37"/>
    </sheetView>
  </sheetViews>
  <sheetFormatPr defaultColWidth="9.1796875" defaultRowHeight="13" x14ac:dyDescent="0.3"/>
  <cols>
    <col min="1" max="1" width="9.1796875" style="9"/>
    <col min="2" max="2" width="41.7265625" style="9" bestFit="1" customWidth="1"/>
    <col min="3" max="4" width="10.54296875" style="30" customWidth="1"/>
    <col min="5" max="5" width="13.81640625" style="30" bestFit="1" customWidth="1"/>
    <col min="6" max="6" width="11.81640625" style="30" bestFit="1" customWidth="1"/>
    <col min="7" max="11" width="13.453125" style="30" bestFit="1" customWidth="1"/>
    <col min="12" max="16384" width="9.1796875" style="9"/>
  </cols>
  <sheetData>
    <row r="1" spans="1:11" x14ac:dyDescent="0.3">
      <c r="A1" s="10" t="s">
        <v>104</v>
      </c>
    </row>
    <row r="2" spans="1:11" x14ac:dyDescent="0.3">
      <c r="A2" s="10"/>
    </row>
    <row r="3" spans="1:11" ht="13.5" thickBot="1" x14ac:dyDescent="0.35">
      <c r="A3" s="10"/>
      <c r="B3" s="10" t="s">
        <v>113</v>
      </c>
      <c r="C3" s="278"/>
    </row>
    <row r="4" spans="1:11" x14ac:dyDescent="0.3">
      <c r="A4" s="10"/>
      <c r="B4" s="10" t="str">
        <f>B15</f>
        <v>Medicaid Adults (Non-Group VIII Adults) - SMI</v>
      </c>
      <c r="C4" s="330">
        <v>4.8617593471473208E-2</v>
      </c>
    </row>
    <row r="5" spans="1:11" x14ac:dyDescent="0.3">
      <c r="A5" s="10"/>
      <c r="B5" s="10" t="str">
        <f>B20</f>
        <v>Expansion Adults (VIII Adults) - SMI</v>
      </c>
      <c r="C5" s="331">
        <v>4.8606831281506002E-2</v>
      </c>
    </row>
    <row r="6" spans="1:11" x14ac:dyDescent="0.3">
      <c r="A6" s="10"/>
      <c r="B6" s="10" t="str">
        <f>B25</f>
        <v>Medicaid Adults (Non-Group VIII Adults) - SUD</v>
      </c>
      <c r="C6" s="279">
        <f>C4</f>
        <v>4.8617593471473208E-2</v>
      </c>
    </row>
    <row r="7" spans="1:11" x14ac:dyDescent="0.3">
      <c r="A7" s="10"/>
      <c r="B7" s="10" t="str">
        <f>B30</f>
        <v>Expansion Adults (VIII Adults) - SUD</v>
      </c>
      <c r="C7" s="279">
        <f>C5</f>
        <v>4.8606831281506002E-2</v>
      </c>
    </row>
    <row r="8" spans="1:11" x14ac:dyDescent="0.3">
      <c r="A8" s="10"/>
      <c r="B8" s="10" t="str">
        <f>B35</f>
        <v>Adolescents - SUD</v>
      </c>
      <c r="C8" s="331">
        <v>4.9198346681243565E-2</v>
      </c>
    </row>
    <row r="9" spans="1:11" x14ac:dyDescent="0.3">
      <c r="A9" s="10"/>
      <c r="B9" s="10" t="str">
        <f>B40</f>
        <v>Non-Qualified Waiver Nursing Facility Population</v>
      </c>
      <c r="C9" s="340">
        <v>0.05</v>
      </c>
    </row>
    <row r="10" spans="1:11" ht="15.75" customHeight="1" thickBot="1" x14ac:dyDescent="0.35">
      <c r="A10" s="10"/>
      <c r="B10" s="272" t="str">
        <f>B46</f>
        <v>Non-IMD Services CNOM Limit MEG</v>
      </c>
      <c r="C10" s="280"/>
      <c r="F10" s="309"/>
    </row>
    <row r="11" spans="1:11" ht="13.5" thickBot="1" x14ac:dyDescent="0.35">
      <c r="B11" s="15"/>
      <c r="C11" s="113"/>
      <c r="D11" s="146"/>
      <c r="E11" s="192"/>
      <c r="F11" s="310" t="s">
        <v>114</v>
      </c>
      <c r="G11" s="26"/>
      <c r="H11" s="26"/>
      <c r="I11" s="26"/>
      <c r="J11" s="26"/>
      <c r="K11" s="4"/>
    </row>
    <row r="12" spans="1:11" ht="13.5" thickBot="1" x14ac:dyDescent="0.35">
      <c r="B12" s="16" t="s">
        <v>13</v>
      </c>
      <c r="C12" s="36" t="s">
        <v>112</v>
      </c>
      <c r="D12" s="35" t="s">
        <v>14</v>
      </c>
      <c r="E12" s="27" t="s">
        <v>110</v>
      </c>
      <c r="F12" s="362" t="s">
        <v>1</v>
      </c>
      <c r="G12" s="363"/>
      <c r="H12" s="363"/>
      <c r="I12" s="363"/>
      <c r="J12" s="364"/>
      <c r="K12" s="36" t="s">
        <v>2</v>
      </c>
    </row>
    <row r="13" spans="1:11" ht="13.5" thickBot="1" x14ac:dyDescent="0.35">
      <c r="B13" s="17" t="s">
        <v>15</v>
      </c>
      <c r="C13" s="39" t="s">
        <v>73</v>
      </c>
      <c r="D13" s="37" t="s">
        <v>16</v>
      </c>
      <c r="E13" s="38" t="s">
        <v>111</v>
      </c>
      <c r="F13" s="311">
        <v>2024</v>
      </c>
      <c r="G13" s="56">
        <f>F13+1</f>
        <v>2025</v>
      </c>
      <c r="H13" s="56">
        <f t="shared" ref="H13:J13" si="0">G13+1</f>
        <v>2026</v>
      </c>
      <c r="I13" s="56">
        <f t="shared" si="0"/>
        <v>2027</v>
      </c>
      <c r="J13" s="57">
        <f t="shared" si="0"/>
        <v>2028</v>
      </c>
      <c r="K13" s="39" t="s">
        <v>17</v>
      </c>
    </row>
    <row r="14" spans="1:11" x14ac:dyDescent="0.3">
      <c r="B14" s="18"/>
      <c r="C14" s="27"/>
      <c r="D14" s="27"/>
      <c r="E14" s="40"/>
      <c r="F14" s="40"/>
      <c r="G14" s="40"/>
      <c r="H14" s="40"/>
      <c r="I14" s="40"/>
      <c r="J14" s="40"/>
      <c r="K14" s="27"/>
    </row>
    <row r="15" spans="1:11" ht="15.75" customHeight="1" thickBot="1" x14ac:dyDescent="0.35">
      <c r="B15" s="193" t="str">
        <f>'IMD Historical'!B6</f>
        <v>Medicaid Adults (Non-Group VIII Adults) - SMI</v>
      </c>
      <c r="C15" s="4"/>
      <c r="D15" s="4"/>
      <c r="E15" s="4"/>
      <c r="F15" s="4"/>
      <c r="G15" s="4"/>
      <c r="H15" s="9"/>
      <c r="I15" s="9"/>
      <c r="J15" s="9"/>
      <c r="K15" s="9"/>
    </row>
    <row r="16" spans="1:11" x14ac:dyDescent="0.3">
      <c r="B16" s="81" t="s">
        <v>18</v>
      </c>
      <c r="C16" s="90" t="s">
        <v>19</v>
      </c>
      <c r="D16" s="92" t="s">
        <v>19</v>
      </c>
      <c r="E16" s="84">
        <f>'IMD Historical'!C8</f>
        <v>576</v>
      </c>
      <c r="F16" s="114">
        <f>INDEX('IMD Caseloads'!$D$5:$H$9,MATCH($B15,'IMD Caseloads'!$B$5:$B$9,0),MATCH(F$13,'IMD Caseloads'!$D$4:$H$4,0))</f>
        <v>629.6848672528472</v>
      </c>
      <c r="G16" s="115">
        <f>INDEX('IMD Caseloads'!$D$5:$H$9,MATCH($B15,'IMD Caseloads'!$B$5:$B$9,0),MATCH(G$13,'IMD Caseloads'!$D$4:$H$4,0))</f>
        <v>642.27856459790416</v>
      </c>
      <c r="H16" s="115">
        <f>INDEX('IMD Caseloads'!$D$5:$H$9,MATCH($B15,'IMD Caseloads'!$B$5:$B$9,0),MATCH(H$13,'IMD Caseloads'!$D$4:$H$4,0))</f>
        <v>655.12413588986226</v>
      </c>
      <c r="I16" s="115">
        <f>INDEX('IMD Caseloads'!$D$5:$H$9,MATCH($B15,'IMD Caseloads'!$B$5:$B$9,0),MATCH(I$13,'IMD Caseloads'!$D$4:$H$4,0))</f>
        <v>668.22661860765947</v>
      </c>
      <c r="J16" s="116">
        <f>INDEX('IMD Caseloads'!$D$5:$H$9,MATCH($B15,'IMD Caseloads'!$B$5:$B$9,0),MATCH(J$13,'IMD Caseloads'!$D$4:$H$4,0))</f>
        <v>681.59115097981271</v>
      </c>
      <c r="K16" s="87"/>
    </row>
    <row r="17" spans="2:13" x14ac:dyDescent="0.3">
      <c r="B17" s="82" t="s">
        <v>20</v>
      </c>
      <c r="C17" s="273">
        <f>INDEX($C$4:$C$8,MATCH(B15,$B$4:$B$8,0),1)</f>
        <v>4.8617593471473208E-2</v>
      </c>
      <c r="D17" s="174">
        <v>0</v>
      </c>
      <c r="E17" s="302">
        <f>INDEX('IMD Historical'!$H$60:$L$60,1,MATCH(B15,'IMD Historical'!$H$42:$L$42,0))</f>
        <v>9794.8206881402966</v>
      </c>
      <c r="F17" s="341">
        <f>E17*(1+$C17)</f>
        <v>10271.021298482277</v>
      </c>
      <c r="G17" s="342">
        <f t="shared" ref="G17:J17" si="1">F17*(1+$C17)</f>
        <v>10770.373636508732</v>
      </c>
      <c r="H17" s="342">
        <f t="shared" si="1"/>
        <v>11294.003283504386</v>
      </c>
      <c r="I17" s="342">
        <f t="shared" si="1"/>
        <v>11843.090543807286</v>
      </c>
      <c r="J17" s="342">
        <f t="shared" si="1"/>
        <v>12418.873105311957</v>
      </c>
      <c r="K17" s="290"/>
      <c r="M17" s="10"/>
    </row>
    <row r="18" spans="2:13" ht="13.5" thickBot="1" x14ac:dyDescent="0.35">
      <c r="B18" s="83" t="s">
        <v>21</v>
      </c>
      <c r="C18" s="274"/>
      <c r="D18" s="86"/>
      <c r="E18" s="86"/>
      <c r="F18" s="298">
        <f>+F16*F17</f>
        <v>6467506.6828859793</v>
      </c>
      <c r="G18" s="299">
        <f>+G16*G17</f>
        <v>6917580.1194399372</v>
      </c>
      <c r="H18" s="299">
        <f>+H16*H17</f>
        <v>7398974.1418430777</v>
      </c>
      <c r="I18" s="299">
        <f>+I16*I17</f>
        <v>7913868.34795269</v>
      </c>
      <c r="J18" s="300">
        <f>+J16*J17</f>
        <v>8464594.0137218181</v>
      </c>
      <c r="K18" s="294">
        <f>SUM(F18:J18)</f>
        <v>37162523.305843502</v>
      </c>
      <c r="M18" s="10"/>
    </row>
    <row r="19" spans="2:13" x14ac:dyDescent="0.3">
      <c r="B19" s="122"/>
      <c r="C19" s="275" t="e">
        <f>'IMD Historical'!#REF!</f>
        <v>#REF!</v>
      </c>
      <c r="D19" s="4"/>
      <c r="E19" s="281">
        <f>'IMD Historical'!C9</f>
        <v>12904.985276773317</v>
      </c>
      <c r="F19" s="123"/>
      <c r="G19" s="123"/>
      <c r="H19" s="123"/>
      <c r="I19" s="123"/>
      <c r="J19" s="123"/>
      <c r="K19" s="29"/>
      <c r="M19" s="10"/>
    </row>
    <row r="20" spans="2:13" ht="13.5" thickBot="1" x14ac:dyDescent="0.35">
      <c r="B20" s="193" t="str">
        <f>'IMD Historical'!B11</f>
        <v>Expansion Adults (VIII Adults) - SMI</v>
      </c>
      <c r="C20" s="276" t="s">
        <v>19</v>
      </c>
      <c r="D20" s="175"/>
      <c r="E20" s="173">
        <f>'IMD Historical'!H60</f>
        <v>9794.8206881402966</v>
      </c>
      <c r="F20" s="4"/>
      <c r="G20" s="4"/>
      <c r="H20" s="4"/>
      <c r="I20" s="4"/>
      <c r="J20" s="4"/>
      <c r="K20" s="4"/>
    </row>
    <row r="21" spans="2:13" x14ac:dyDescent="0.3">
      <c r="B21" s="81" t="s">
        <v>18</v>
      </c>
      <c r="C21" s="90" t="s">
        <v>19</v>
      </c>
      <c r="D21" s="92" t="s">
        <v>19</v>
      </c>
      <c r="E21" s="84">
        <f>'IMD Historical'!C13</f>
        <v>330</v>
      </c>
      <c r="F21" s="114">
        <f>INDEX('IMD Caseloads'!$D$5:$H$9,MATCH($B20,'IMD Caseloads'!$B$5:$B$9,0),MATCH(F$13,'IMD Caseloads'!$D$4:$H$4,0))</f>
        <v>360.75695519694375</v>
      </c>
      <c r="G21" s="115">
        <f>INDEX('IMD Caseloads'!$D$5:$H$9,MATCH($B20,'IMD Caseloads'!$B$5:$B$9,0),MATCH(G$13,'IMD Caseloads'!$D$4:$H$4,0))</f>
        <v>367.97209430088265</v>
      </c>
      <c r="H21" s="115">
        <f>INDEX('IMD Caseloads'!$D$5:$H$9,MATCH($B20,'IMD Caseloads'!$B$5:$B$9,0),MATCH(H$13,'IMD Caseloads'!$D$4:$H$4,0))</f>
        <v>375.33153618690028</v>
      </c>
      <c r="I21" s="115">
        <f>INDEX('IMD Caseloads'!$D$5:$H$9,MATCH($B20,'IMD Caseloads'!$B$5:$B$9,0),MATCH(I$13,'IMD Caseloads'!$D$4:$H$4,0))</f>
        <v>382.83816691063828</v>
      </c>
      <c r="J21" s="116">
        <f>INDEX('IMD Caseloads'!$D$5:$H$9,MATCH($B20,'IMD Caseloads'!$B$5:$B$9,0),MATCH(J$13,'IMD Caseloads'!$D$4:$H$4,0))</f>
        <v>390.49493024885106</v>
      </c>
      <c r="K21" s="87"/>
    </row>
    <row r="22" spans="2:13" x14ac:dyDescent="0.3">
      <c r="B22" s="82" t="s">
        <v>20</v>
      </c>
      <c r="C22" s="273">
        <f>INDEX($C$4:$C$8,MATCH(B20,$B$4:$B$8,0),1)</f>
        <v>4.8606831281506002E-2</v>
      </c>
      <c r="D22" s="174">
        <v>0</v>
      </c>
      <c r="E22" s="302">
        <f>INDEX('IMD Historical'!$H$60:$L$60,1,MATCH(B20,'IMD Historical'!$H$42:$L$42,0))</f>
        <v>6874.094754802265</v>
      </c>
      <c r="F22" s="341">
        <f>E22*(1+$C22)</f>
        <v>7208.2227187620238</v>
      </c>
      <c r="G22" s="342">
        <f t="shared" ref="G22:J22" si="2">F22*(1+$C22)</f>
        <v>7558.5915842924078</v>
      </c>
      <c r="H22" s="342">
        <f t="shared" si="2"/>
        <v>7925.9907701559196</v>
      </c>
      <c r="I22" s="342">
        <f t="shared" si="2"/>
        <v>8311.2480662596627</v>
      </c>
      <c r="J22" s="342">
        <f t="shared" si="2"/>
        <v>8715.231498755089</v>
      </c>
      <c r="K22" s="290"/>
    </row>
    <row r="23" spans="2:13" ht="13.5" thickBot="1" x14ac:dyDescent="0.35">
      <c r="B23" s="83" t="s">
        <v>21</v>
      </c>
      <c r="C23" s="274"/>
      <c r="D23" s="86"/>
      <c r="E23" s="86"/>
      <c r="F23" s="298">
        <f>+F21*F22</f>
        <v>2600416.4804020235</v>
      </c>
      <c r="G23" s="299">
        <f>+G21*G22</f>
        <v>2781350.7752371039</v>
      </c>
      <c r="H23" s="299">
        <f>+H21*H22</f>
        <v>2974874.2915658141</v>
      </c>
      <c r="I23" s="299">
        <f>+I21*I22</f>
        <v>3181862.9744264362</v>
      </c>
      <c r="J23" s="300">
        <f>+J21*J22</f>
        <v>3403253.7162089581</v>
      </c>
      <c r="K23" s="294">
        <f>SUM(F23:J23)</f>
        <v>14941758.237840336</v>
      </c>
      <c r="M23" s="10"/>
    </row>
    <row r="24" spans="2:13" x14ac:dyDescent="0.3">
      <c r="B24" s="18"/>
      <c r="C24" s="27"/>
      <c r="D24" s="27"/>
      <c r="E24" s="40"/>
      <c r="F24" s="40"/>
      <c r="G24" s="40"/>
      <c r="H24" s="40"/>
      <c r="I24" s="40"/>
      <c r="J24" s="40"/>
      <c r="K24" s="27"/>
    </row>
    <row r="25" spans="2:13" ht="15.75" customHeight="1" thickBot="1" x14ac:dyDescent="0.35">
      <c r="B25" s="193" t="str">
        <f>'IMD Historical'!B16</f>
        <v>Medicaid Adults (Non-Group VIII Adults) - SUD</v>
      </c>
      <c r="C25" s="4"/>
      <c r="D25" s="4"/>
      <c r="E25" s="4"/>
      <c r="F25" s="4"/>
      <c r="G25" s="4"/>
      <c r="H25" s="9"/>
      <c r="I25" s="9"/>
      <c r="J25" s="9"/>
      <c r="K25" s="9"/>
    </row>
    <row r="26" spans="2:13" x14ac:dyDescent="0.3">
      <c r="B26" s="81" t="s">
        <v>18</v>
      </c>
      <c r="C26" s="90" t="s">
        <v>19</v>
      </c>
      <c r="D26" s="92" t="s">
        <v>19</v>
      </c>
      <c r="E26" s="84">
        <f>'IMD Historical'!C18</f>
        <v>669</v>
      </c>
      <c r="F26" s="114">
        <f>INDEX('IMD Caseloads'!$D$5:$H$9,MATCH($B25,'IMD Caseloads'!$B$5:$B$9,0),MATCH(F$13,'IMD Caseloads'!$D$4:$H$4,0))</f>
        <v>731.35273644471317</v>
      </c>
      <c r="G26" s="115">
        <f>INDEX('IMD Caseloads'!$D$5:$H$9,MATCH($B25,'IMD Caseloads'!$B$5:$B$9,0),MATCH(G$13,'IMD Caseloads'!$D$4:$H$4,0))</f>
        <v>745.9797911736074</v>
      </c>
      <c r="H26" s="115">
        <f>INDEX('IMD Caseloads'!$D$5:$H$9,MATCH($B25,'IMD Caseloads'!$B$5:$B$9,0),MATCH(H$13,'IMD Caseloads'!$D$4:$H$4,0))</f>
        <v>760.89938699707955</v>
      </c>
      <c r="I26" s="115">
        <f>INDEX('IMD Caseloads'!$D$5:$H$9,MATCH($B25,'IMD Caseloads'!$B$5:$B$9,0),MATCH(I$13,'IMD Caseloads'!$D$4:$H$4,0))</f>
        <v>776.11737473702112</v>
      </c>
      <c r="J26" s="116">
        <f>INDEX('IMD Caseloads'!$D$5:$H$9,MATCH($B25,'IMD Caseloads'!$B$5:$B$9,0),MATCH(J$13,'IMD Caseloads'!$D$4:$H$4,0))</f>
        <v>791.63972223176154</v>
      </c>
      <c r="K26" s="87"/>
    </row>
    <row r="27" spans="2:13" x14ac:dyDescent="0.3">
      <c r="B27" s="82" t="s">
        <v>20</v>
      </c>
      <c r="C27" s="273">
        <f>INDEX($C$4:$C$8,MATCH(B25,$B$4:$B$8,0),1)</f>
        <v>4.8617593471473208E-2</v>
      </c>
      <c r="D27" s="174">
        <v>0</v>
      </c>
      <c r="E27" s="302">
        <f>INDEX('IMD Historical'!$H$60:$L$60,1,MATCH(B25,'IMD Historical'!$H$42:$L$42,0))</f>
        <v>1623.6893305224751</v>
      </c>
      <c r="F27" s="341">
        <f>E27*(1+$C27)</f>
        <v>1702.6291983177853</v>
      </c>
      <c r="G27" s="342">
        <f t="shared" ref="G27:J27" si="3">F27*(1+$C27)</f>
        <v>1785.4069325142598</v>
      </c>
      <c r="H27" s="342">
        <f t="shared" si="3"/>
        <v>1872.2091209403882</v>
      </c>
      <c r="I27" s="342">
        <f t="shared" si="3"/>
        <v>1963.2314228758521</v>
      </c>
      <c r="J27" s="342">
        <f t="shared" si="3"/>
        <v>2058.679010083652</v>
      </c>
      <c r="K27" s="290"/>
      <c r="M27" s="10"/>
    </row>
    <row r="28" spans="2:13" ht="13.5" thickBot="1" x14ac:dyDescent="0.35">
      <c r="B28" s="83" t="s">
        <v>21</v>
      </c>
      <c r="C28" s="274"/>
      <c r="D28" s="86"/>
      <c r="E28" s="86"/>
      <c r="F28" s="298">
        <f>+F26*F27</f>
        <v>1245222.5233403805</v>
      </c>
      <c r="G28" s="299">
        <f>+G26*G27</f>
        <v>1331877.4906768985</v>
      </c>
      <c r="H28" s="299">
        <f>+H26*H27</f>
        <v>1424562.7724538825</v>
      </c>
      <c r="I28" s="299">
        <f>+I26*I27</f>
        <v>1523698.0179236329</v>
      </c>
      <c r="J28" s="300">
        <f>+J26*J27</f>
        <v>1629732.0797069801</v>
      </c>
      <c r="K28" s="294">
        <f>SUM(F28:J28)</f>
        <v>7155092.8841017745</v>
      </c>
      <c r="M28" s="10"/>
    </row>
    <row r="29" spans="2:13" x14ac:dyDescent="0.3">
      <c r="B29" s="122"/>
      <c r="C29" s="275" t="e">
        <f>'IMD Historical'!#REF!</f>
        <v>#REF!</v>
      </c>
      <c r="D29" s="4"/>
      <c r="E29" s="281">
        <f>'IMD Historical'!C19</f>
        <v>1065.7490881913302</v>
      </c>
      <c r="F29" s="123"/>
      <c r="G29" s="123"/>
      <c r="H29" s="123"/>
      <c r="I29" s="123"/>
      <c r="J29" s="123"/>
      <c r="K29" s="29"/>
      <c r="M29" s="10"/>
    </row>
    <row r="30" spans="2:13" ht="13.5" thickBot="1" x14ac:dyDescent="0.35">
      <c r="B30" s="193" t="str">
        <f>'IMD Historical'!B21</f>
        <v>Expansion Adults (VIII Adults) - SUD</v>
      </c>
      <c r="C30" s="276" t="s">
        <v>19</v>
      </c>
      <c r="D30" s="175"/>
      <c r="E30" s="173">
        <f>'IMD Historical'!H70</f>
        <v>0</v>
      </c>
      <c r="F30" s="4"/>
      <c r="G30" s="4"/>
      <c r="H30" s="4"/>
      <c r="I30" s="4"/>
      <c r="J30" s="4"/>
      <c r="K30" s="4"/>
    </row>
    <row r="31" spans="2:13" x14ac:dyDescent="0.3">
      <c r="B31" s="81" t="s">
        <v>18</v>
      </c>
      <c r="C31" s="90" t="s">
        <v>19</v>
      </c>
      <c r="D31" s="92" t="s">
        <v>19</v>
      </c>
      <c r="E31" s="84">
        <f>'IMD Historical'!C23</f>
        <v>4518</v>
      </c>
      <c r="F31" s="114">
        <f>INDEX('IMD Caseloads'!$D$5:$H$9,MATCH($B30,'IMD Caseloads'!$B$5:$B$9,0),MATCH(F$13,'IMD Caseloads'!$D$4:$H$4,0))</f>
        <v>4939.0906775145204</v>
      </c>
      <c r="G31" s="115">
        <f>INDEX('IMD Caseloads'!$D$5:$H$9,MATCH($B30,'IMD Caseloads'!$B$5:$B$9,0),MATCH(G$13,'IMD Caseloads'!$D$4:$H$4,0))</f>
        <v>5037.8724910648107</v>
      </c>
      <c r="H31" s="115">
        <f>INDEX('IMD Caseloads'!$D$5:$H$9,MATCH($B30,'IMD Caseloads'!$B$5:$B$9,0),MATCH(H$13,'IMD Caseloads'!$D$4:$H$4,0))</f>
        <v>5138.6299408861069</v>
      </c>
      <c r="I31" s="115">
        <f>INDEX('IMD Caseloads'!$D$5:$H$9,MATCH($B30,'IMD Caseloads'!$B$5:$B$9,0),MATCH(I$13,'IMD Caseloads'!$D$4:$H$4,0))</f>
        <v>5241.4025397038295</v>
      </c>
      <c r="J31" s="116">
        <f>INDEX('IMD Caseloads'!$D$5:$H$9,MATCH($B30,'IMD Caseloads'!$B$5:$B$9,0),MATCH(J$13,'IMD Caseloads'!$D$4:$H$4,0))</f>
        <v>5346.2305904979057</v>
      </c>
      <c r="K31" s="87"/>
    </row>
    <row r="32" spans="2:13" x14ac:dyDescent="0.3">
      <c r="B32" s="82" t="s">
        <v>20</v>
      </c>
      <c r="C32" s="273">
        <f>INDEX($C$4:$C$8,MATCH(B30,$B$4:$B$8,0),1)</f>
        <v>4.8606831281506002E-2</v>
      </c>
      <c r="D32" s="174">
        <v>0</v>
      </c>
      <c r="E32" s="302">
        <f>INDEX('IMD Historical'!$H$60:$L$60,1,MATCH(B30,'IMD Historical'!$H$42:$L$42,0))</f>
        <v>1231.8587467729863</v>
      </c>
      <c r="F32" s="341">
        <f>E32*(1+$C32)</f>
        <v>1291.7354970400281</v>
      </c>
      <c r="G32" s="342">
        <f t="shared" ref="G32:J32" si="4">F32*(1+$C32)</f>
        <v>1354.5226664049851</v>
      </c>
      <c r="H32" s="342">
        <f t="shared" si="4"/>
        <v>1420.3617211179078</v>
      </c>
      <c r="I32" s="342">
        <f t="shared" si="4"/>
        <v>1489.4010036549955</v>
      </c>
      <c r="J32" s="342">
        <f t="shared" si="4"/>
        <v>1561.7960669501597</v>
      </c>
      <c r="K32" s="290"/>
    </row>
    <row r="33" spans="2:13" ht="13.5" thickBot="1" x14ac:dyDescent="0.35">
      <c r="B33" s="83" t="s">
        <v>21</v>
      </c>
      <c r="C33" s="274"/>
      <c r="D33" s="86"/>
      <c r="E33" s="86"/>
      <c r="F33" s="298">
        <f>+F31*F32</f>
        <v>6379998.7512449883</v>
      </c>
      <c r="G33" s="299">
        <f>+G31*G32</f>
        <v>6823912.4796054317</v>
      </c>
      <c r="H33" s="299">
        <f>+H31*H32</f>
        <v>7298713.2670250032</v>
      </c>
      <c r="I33" s="299">
        <f>+I31*I32</f>
        <v>7806550.2031947263</v>
      </c>
      <c r="J33" s="300">
        <f>+J31*J32</f>
        <v>8349721.9092482589</v>
      </c>
      <c r="K33" s="294">
        <f>SUM(F33:J33)</f>
        <v>36658896.610318407</v>
      </c>
      <c r="M33" s="10"/>
    </row>
    <row r="34" spans="2:13" x14ac:dyDescent="0.3">
      <c r="B34" s="122"/>
      <c r="C34" s="275" t="e">
        <f>'IMD Historical'!#REF!</f>
        <v>#REF!</v>
      </c>
      <c r="D34" s="4"/>
      <c r="E34" s="281">
        <f>'IMD Historical'!C14</f>
        <v>12377.97021179116</v>
      </c>
      <c r="F34" s="123"/>
      <c r="G34" s="123"/>
      <c r="H34" s="123"/>
      <c r="I34" s="123"/>
      <c r="J34" s="123"/>
      <c r="K34" s="29"/>
      <c r="M34" s="10"/>
    </row>
    <row r="35" spans="2:13" ht="13.5" thickBot="1" x14ac:dyDescent="0.35">
      <c r="B35" s="193" t="str">
        <f>'IMD Historical'!B26</f>
        <v>Adolescents - SUD</v>
      </c>
      <c r="C35" s="276" t="s">
        <v>19</v>
      </c>
      <c r="D35" s="175"/>
      <c r="E35" s="173">
        <f>'IMD Historical'!I60</f>
        <v>6874.094754802265</v>
      </c>
      <c r="F35" s="4"/>
      <c r="G35" s="4"/>
      <c r="H35" s="4"/>
      <c r="I35" s="4"/>
      <c r="J35" s="4"/>
      <c r="K35" s="4"/>
      <c r="M35" s="10"/>
    </row>
    <row r="36" spans="2:13" x14ac:dyDescent="0.3">
      <c r="B36" s="81" t="s">
        <v>18</v>
      </c>
      <c r="C36" s="90" t="s">
        <v>19</v>
      </c>
      <c r="D36" s="92" t="s">
        <v>19</v>
      </c>
      <c r="E36" s="84">
        <f>'IMD Historical'!C28</f>
        <v>93</v>
      </c>
      <c r="F36" s="114">
        <f>INDEX('IMD Caseloads'!$D$5:$H$9,MATCH($B35,'IMD Caseloads'!$B$5:$B$9,0),MATCH(F$13,'IMD Caseloads'!$D$4:$H$4,0))</f>
        <v>101.66786919186596</v>
      </c>
      <c r="G36" s="115">
        <f>INDEX('IMD Caseloads'!$D$5:$H$9,MATCH($B35,'IMD Caseloads'!$B$5:$B$9,0),MATCH(G$13,'IMD Caseloads'!$D$4:$H$4,0))</f>
        <v>103.70122657570329</v>
      </c>
      <c r="H36" s="115">
        <f>INDEX('IMD Caseloads'!$D$5:$H$9,MATCH($B35,'IMD Caseloads'!$B$5:$B$9,0),MATCH(H$13,'IMD Caseloads'!$D$4:$H$4,0))</f>
        <v>105.77525110721736</v>
      </c>
      <c r="I36" s="115">
        <f>INDEX('IMD Caseloads'!$D$5:$H$9,MATCH($B35,'IMD Caseloads'!$B$5:$B$9,0),MATCH(I$13,'IMD Caseloads'!$D$4:$H$4,0))</f>
        <v>107.89075612936171</v>
      </c>
      <c r="J36" s="116">
        <f>INDEX('IMD Caseloads'!$D$5:$H$9,MATCH($B35,'IMD Caseloads'!$B$5:$B$9,0),MATCH(J$13,'IMD Caseloads'!$D$4:$H$4,0))</f>
        <v>110.04857125194894</v>
      </c>
      <c r="K36" s="87"/>
    </row>
    <row r="37" spans="2:13" x14ac:dyDescent="0.3">
      <c r="B37" s="82" t="s">
        <v>20</v>
      </c>
      <c r="C37" s="273">
        <f>INDEX($C$4:$C$8,MATCH(B35,$B$4:$B$8,0),1)</f>
        <v>4.9198346681243565E-2</v>
      </c>
      <c r="D37" s="174">
        <v>0</v>
      </c>
      <c r="E37" s="302">
        <f>INDEX('IMD Historical'!$H$60:$L$60,1,MATCH(B35,'IMD Historical'!$H$42:$L$42,0))</f>
        <v>974.56086524710224</v>
      </c>
      <c r="F37" s="341">
        <f>E37*(1+$C37)</f>
        <v>1022.5076485575019</v>
      </c>
      <c r="G37" s="342">
        <f t="shared" ref="G37:J37" si="5">F37*(1+$C37)</f>
        <v>1072.8133343354571</v>
      </c>
      <c r="H37" s="342">
        <f t="shared" si="5"/>
        <v>1125.5939766823537</v>
      </c>
      <c r="I37" s="342">
        <f t="shared" si="5"/>
        <v>1180.9713393694917</v>
      </c>
      <c r="J37" s="342">
        <f t="shared" si="5"/>
        <v>1239.0731767444045</v>
      </c>
      <c r="K37" s="290"/>
    </row>
    <row r="38" spans="2:13" ht="13.5" thickBot="1" x14ac:dyDescent="0.35">
      <c r="B38" s="83" t="s">
        <v>21</v>
      </c>
      <c r="C38" s="274"/>
      <c r="D38" s="86"/>
      <c r="E38" s="86"/>
      <c r="F38" s="298">
        <f>+F36*F37</f>
        <v>103956.17386122655</v>
      </c>
      <c r="G38" s="299">
        <f>+G36*G37</f>
        <v>111252.05865735696</v>
      </c>
      <c r="H38" s="299">
        <f>+H36*H37</f>
        <v>119059.98552834733</v>
      </c>
      <c r="I38" s="299">
        <f>+I36*I37</f>
        <v>127415.89077167949</v>
      </c>
      <c r="J38" s="300">
        <f>+J36*J37</f>
        <v>136358.23277733533</v>
      </c>
      <c r="K38" s="294">
        <f>SUM(F38:J38)</f>
        <v>598042.34159594565</v>
      </c>
    </row>
    <row r="39" spans="2:13" x14ac:dyDescent="0.3">
      <c r="B39" s="122"/>
      <c r="C39" s="275" t="e">
        <f>'IMD Historical'!#REF!</f>
        <v>#REF!</v>
      </c>
      <c r="D39" s="4"/>
      <c r="E39" s="281">
        <f>'IMD Historical'!C19</f>
        <v>1065.7490881913302</v>
      </c>
      <c r="F39" s="123"/>
      <c r="G39" s="123"/>
      <c r="H39" s="123"/>
      <c r="I39" s="123"/>
      <c r="J39" s="123"/>
      <c r="K39" s="29"/>
      <c r="M39" s="10"/>
    </row>
    <row r="40" spans="2:13" ht="13.5" thickBot="1" x14ac:dyDescent="0.35">
      <c r="B40" s="193" t="str">
        <f>'IMD Historical'!B31</f>
        <v>Non-Qualified Waiver Nursing Facility Population</v>
      </c>
      <c r="C40" s="276" t="s">
        <v>19</v>
      </c>
      <c r="D40" s="175"/>
      <c r="E40" s="173">
        <f>'IMD Historical'!I65</f>
        <v>0</v>
      </c>
      <c r="F40" s="4"/>
      <c r="G40" s="4"/>
      <c r="H40" s="4"/>
      <c r="I40" s="4"/>
      <c r="J40" s="4"/>
      <c r="K40" s="4"/>
      <c r="M40" s="10"/>
    </row>
    <row r="41" spans="2:13" x14ac:dyDescent="0.3">
      <c r="B41" s="81" t="s">
        <v>18</v>
      </c>
      <c r="C41" s="90" t="s">
        <v>19</v>
      </c>
      <c r="D41" s="92" t="s">
        <v>19</v>
      </c>
      <c r="E41" s="84">
        <f>'IMD Historical'!C33</f>
        <v>33639.843154855094</v>
      </c>
      <c r="F41" s="114">
        <f>INDEX('IMD Caseloads'!$D$5:$H$10,MATCH($B40,'IMD Caseloads'!$B$5:$B$10,0),MATCH(F$13,'IMD Caseloads'!$D$4:$H$4,0))</f>
        <v>33639.843154855094</v>
      </c>
      <c r="G41" s="115">
        <f>INDEX('IMD Caseloads'!$D$5:$H$10,MATCH($B40,'IMD Caseloads'!$B$5:$B$10,0),MATCH(G$13,'IMD Caseloads'!$D$4:$H$4,0))</f>
        <v>34312.640017952195</v>
      </c>
      <c r="H41" s="115">
        <f>INDEX('IMD Caseloads'!$D$5:$H$10,MATCH($B40,'IMD Caseloads'!$B$5:$B$10,0),MATCH(H$13,'IMD Caseloads'!$D$4:$H$4,0))</f>
        <v>34998.892818311237</v>
      </c>
      <c r="I41" s="115">
        <f>INDEX('IMD Caseloads'!$D$5:$H$10,MATCH($B40,'IMD Caseloads'!$B$5:$B$10,0),MATCH(I$13,'IMD Caseloads'!$D$4:$H$4,0))</f>
        <v>35698.870674677462</v>
      </c>
      <c r="J41" s="116">
        <f>INDEX('IMD Caseloads'!$D$5:$H$10,MATCH($B40,'IMD Caseloads'!$B$5:$B$10,0),MATCH(J$13,'IMD Caseloads'!$D$4:$H$4,0))</f>
        <v>36412.848088171013</v>
      </c>
      <c r="K41" s="87"/>
    </row>
    <row r="42" spans="2:13" x14ac:dyDescent="0.3">
      <c r="B42" s="82" t="s">
        <v>20</v>
      </c>
      <c r="C42" s="273">
        <f>INDEX($C$4:$C$9,MATCH(B40,$B$4:$B$9,0),1)</f>
        <v>0.05</v>
      </c>
      <c r="D42" s="174">
        <v>0</v>
      </c>
      <c r="E42" s="302">
        <f>INDEX('IMD Historical'!$H$60:$M$60,1,MATCH(B40,'IMD Historical'!$H$42:$M$42,0))</f>
        <v>1.4004222378606634</v>
      </c>
      <c r="F42" s="341">
        <f>E42*(1+$C42)</f>
        <v>1.4704433497536966</v>
      </c>
      <c r="G42" s="342">
        <f t="shared" ref="G42" si="6">F42*(1+$C42)</f>
        <v>1.5439655172413815</v>
      </c>
      <c r="H42" s="342">
        <f t="shared" ref="H42" si="7">G42*(1+$C42)</f>
        <v>1.6211637931034506</v>
      </c>
      <c r="I42" s="342">
        <f t="shared" ref="I42" si="8">H42*(1+$C42)</f>
        <v>1.7022219827586231</v>
      </c>
      <c r="J42" s="342">
        <f t="shared" ref="J42" si="9">I42*(1+$C42)</f>
        <v>1.7873330818965543</v>
      </c>
      <c r="K42" s="290"/>
    </row>
    <row r="43" spans="2:13" ht="13.5" thickBot="1" x14ac:dyDescent="0.35">
      <c r="B43" s="83" t="s">
        <v>21</v>
      </c>
      <c r="C43" s="274"/>
      <c r="D43" s="86"/>
      <c r="E43" s="86"/>
      <c r="F43" s="298">
        <f>+F41*F42</f>
        <v>49465.483653814088</v>
      </c>
      <c r="G43" s="299">
        <f>+G41*G42</f>
        <v>52977.53299323489</v>
      </c>
      <c r="H43" s="299">
        <f>+H41*H42</f>
        <v>56738.937835754557</v>
      </c>
      <c r="I43" s="299">
        <f>+I41*I42</f>
        <v>60767.402422093139</v>
      </c>
      <c r="J43" s="300">
        <f>+J41*J42</f>
        <v>65081.887994061748</v>
      </c>
      <c r="K43" s="294">
        <f>SUM(F43:J43)</f>
        <v>285031.24489895842</v>
      </c>
    </row>
    <row r="44" spans="2:13" x14ac:dyDescent="0.3">
      <c r="B44" s="365" t="s">
        <v>79</v>
      </c>
      <c r="C44" s="365"/>
      <c r="D44" s="175"/>
      <c r="E44" s="281">
        <f>'IMD Historical'!C29</f>
        <v>1115.338817204301</v>
      </c>
      <c r="F44" s="4"/>
      <c r="G44" s="4"/>
      <c r="H44" s="4"/>
      <c r="I44" s="4"/>
      <c r="J44" s="4"/>
      <c r="K44" s="4"/>
    </row>
    <row r="45" spans="2:13" x14ac:dyDescent="0.3">
      <c r="B45" s="264"/>
      <c r="C45" s="264"/>
      <c r="D45" s="175"/>
      <c r="E45" s="173">
        <f>'IMD Historical'!L60</f>
        <v>974.56086524710224</v>
      </c>
      <c r="F45" s="4"/>
      <c r="G45" s="4"/>
      <c r="H45" s="4"/>
      <c r="I45" s="4"/>
      <c r="J45" s="4"/>
      <c r="K45" s="4"/>
    </row>
    <row r="46" spans="2:13" ht="13.5" thickBot="1" x14ac:dyDescent="0.35">
      <c r="B46" s="175" t="str">
        <f>'IMD Historical'!N42</f>
        <v>Non-IMD Services CNOM Limit MEG</v>
      </c>
      <c r="C46" s="277"/>
      <c r="D46" s="175"/>
      <c r="E46" s="173"/>
      <c r="F46" s="4"/>
      <c r="G46" s="4"/>
      <c r="H46" s="4"/>
      <c r="I46" s="4"/>
      <c r="J46" s="4"/>
      <c r="K46" s="4"/>
    </row>
    <row r="47" spans="2:13" x14ac:dyDescent="0.3">
      <c r="B47" s="81" t="s">
        <v>18</v>
      </c>
      <c r="C47" s="90" t="s">
        <v>19</v>
      </c>
      <c r="D47" s="92" t="s">
        <v>19</v>
      </c>
      <c r="E47" s="84" t="s">
        <v>19</v>
      </c>
      <c r="F47" s="114">
        <f>'IMD Caseloads'!D11</f>
        <v>0</v>
      </c>
      <c r="G47" s="115">
        <f>'IMD Caseloads'!E11</f>
        <v>0</v>
      </c>
      <c r="H47" s="115">
        <f>'IMD Caseloads'!F11</f>
        <v>0</v>
      </c>
      <c r="I47" s="115">
        <f>'IMD Caseloads'!G11</f>
        <v>0</v>
      </c>
      <c r="J47" s="116">
        <f>'IMD Caseloads'!H11</f>
        <v>0</v>
      </c>
      <c r="K47" s="87"/>
    </row>
    <row r="48" spans="2:13" x14ac:dyDescent="0.3">
      <c r="B48" s="82" t="s">
        <v>20</v>
      </c>
      <c r="C48" s="91">
        <f>C10</f>
        <v>0</v>
      </c>
      <c r="D48" s="174">
        <v>0</v>
      </c>
      <c r="E48" s="295">
        <f>'IMD Historical'!N60</f>
        <v>0</v>
      </c>
      <c r="F48" s="296">
        <f>ROUND(E48*(1+C48)^(D48/12),2)</f>
        <v>0</v>
      </c>
      <c r="G48" s="297">
        <f>ROUND((1+$C$48)*F48,2)</f>
        <v>0</v>
      </c>
      <c r="H48" s="297">
        <f t="shared" ref="H48:J48" si="10">ROUND((1+$C$48)*G48,2)</f>
        <v>0</v>
      </c>
      <c r="I48" s="297">
        <f t="shared" si="10"/>
        <v>0</v>
      </c>
      <c r="J48" s="297">
        <f t="shared" si="10"/>
        <v>0</v>
      </c>
      <c r="K48" s="290"/>
    </row>
    <row r="49" spans="2:11" ht="13.5" thickBot="1" x14ac:dyDescent="0.35">
      <c r="B49" s="83" t="s">
        <v>21</v>
      </c>
      <c r="C49" s="274"/>
      <c r="D49" s="86"/>
      <c r="E49" s="86"/>
      <c r="F49" s="298">
        <f>+F47*F48</f>
        <v>0</v>
      </c>
      <c r="G49" s="299">
        <f>+G47*G48</f>
        <v>0</v>
      </c>
      <c r="H49" s="299">
        <f>+H47*H48</f>
        <v>0</v>
      </c>
      <c r="I49" s="299">
        <f>+I47*I48</f>
        <v>0</v>
      </c>
      <c r="J49" s="300">
        <f>+J47*J48</f>
        <v>0</v>
      </c>
      <c r="K49" s="294">
        <f>SUM(F49:J49)</f>
        <v>0</v>
      </c>
    </row>
    <row r="57" spans="2:11" x14ac:dyDescent="0.3">
      <c r="B57" s="67"/>
    </row>
  </sheetData>
  <mergeCells count="2">
    <mergeCell ref="F12:J12"/>
    <mergeCell ref="B44:C44"/>
  </mergeCells>
  <dataValidations count="1">
    <dataValidation type="list" allowBlank="1" showInputMessage="1" showErrorMessage="1" sqref="E17 E37 E32 E27 E22" xr:uid="{00000000-0002-0000-0200-000000000000}">
      <formula1>$E$19:$E$20</formula1>
    </dataValidation>
  </dataValidations>
  <pageMargins left="0.7" right="0.7" top="0.75" bottom="0.75" header="0.3" footer="0.3"/>
  <pageSetup orientation="portrait" r:id="rId1"/>
  <ignoredErrors>
    <ignoredError sqref="E16 E18 E23 E21 E36 E47:E48" unlockedFormula="1"/>
    <ignoredError sqref="C19 C34 F46:K47 F18:K20 E44:K44 F34:K35 F38:K38 E19 E34 K17 K22 K37 F49:K49 K48 F23:K23 K21 K36"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8"/>
  <sheetViews>
    <sheetView zoomScale="80" zoomScaleNormal="80" workbookViewId="0">
      <selection activeCell="E33" sqref="E33"/>
    </sheetView>
  </sheetViews>
  <sheetFormatPr defaultColWidth="9.1796875" defaultRowHeight="13" x14ac:dyDescent="0.3"/>
  <cols>
    <col min="1" max="1" width="9.1796875" style="9"/>
    <col min="2" max="2" width="24.54296875" style="9" customWidth="1"/>
    <col min="3" max="3" width="13.81640625" style="30" bestFit="1" customWidth="1"/>
    <col min="4" max="4" width="10.54296875" style="30" customWidth="1"/>
    <col min="5" max="10" width="13.81640625" style="30" customWidth="1"/>
    <col min="11" max="11" width="13.81640625" style="9" customWidth="1"/>
    <col min="12" max="16384" width="9.1796875" style="9"/>
  </cols>
  <sheetData>
    <row r="1" spans="1:12" x14ac:dyDescent="0.3">
      <c r="A1" s="10" t="s">
        <v>107</v>
      </c>
    </row>
    <row r="2" spans="1:12" ht="13.5" thickBot="1" x14ac:dyDescent="0.35">
      <c r="E2" s="42"/>
      <c r="F2" s="42"/>
      <c r="G2" s="42"/>
      <c r="H2" s="42"/>
      <c r="I2" s="42"/>
    </row>
    <row r="3" spans="1:12" ht="12.75" customHeight="1" thickBot="1" x14ac:dyDescent="0.35">
      <c r="B3" s="182" t="s">
        <v>13</v>
      </c>
      <c r="C3" s="282" t="str">
        <f>'IMD Without Waiver'!E12</f>
        <v>LAST HISTORIC</v>
      </c>
      <c r="D3" s="31" t="str">
        <f>'IMD Without Waiver'!C12</f>
        <v>PB TREND</v>
      </c>
      <c r="E3" s="370" t="s">
        <v>1</v>
      </c>
      <c r="F3" s="371"/>
      <c r="G3" s="371"/>
      <c r="H3" s="371"/>
      <c r="I3" s="372"/>
      <c r="J3" s="2" t="s">
        <v>22</v>
      </c>
    </row>
    <row r="4" spans="1:12" ht="12.75" customHeight="1" thickBot="1" x14ac:dyDescent="0.35">
      <c r="B4" s="24" t="s">
        <v>15</v>
      </c>
      <c r="C4" s="3" t="str">
        <f>'IMD Without Waiver'!E13</f>
        <v>YEAR</v>
      </c>
      <c r="D4" s="3" t="str">
        <f>'IMD Without Waiver'!C13</f>
        <v>RATE</v>
      </c>
      <c r="E4" s="32">
        <f>'IMD Without Waiver'!F13</f>
        <v>2024</v>
      </c>
      <c r="F4" s="32">
        <f>'IMD Without Waiver'!G13</f>
        <v>2025</v>
      </c>
      <c r="G4" s="32">
        <f>'IMD Without Waiver'!H13</f>
        <v>2026</v>
      </c>
      <c r="H4" s="32">
        <f>'IMD Without Waiver'!I13</f>
        <v>2027</v>
      </c>
      <c r="I4" s="32">
        <f>'IMD Without Waiver'!J13</f>
        <v>2028</v>
      </c>
      <c r="J4" s="3"/>
    </row>
    <row r="5" spans="1:12" ht="12.75" customHeight="1" x14ac:dyDescent="0.3">
      <c r="B5" s="75"/>
      <c r="C5" s="76"/>
      <c r="D5" s="76"/>
      <c r="E5" s="76"/>
      <c r="F5" s="76"/>
      <c r="G5" s="76"/>
      <c r="H5" s="76"/>
      <c r="I5" s="76"/>
      <c r="J5" s="76"/>
    </row>
    <row r="6" spans="1:12" ht="12.75" customHeight="1" thickBot="1" x14ac:dyDescent="0.35">
      <c r="B6" s="369" t="str">
        <f>'IMD Historical'!B6</f>
        <v>Medicaid Adults (Non-Group VIII Adults) - SMI</v>
      </c>
      <c r="C6" s="369"/>
      <c r="D6" s="369"/>
      <c r="E6" s="4"/>
      <c r="F6" s="4"/>
      <c r="G6" s="4"/>
      <c r="H6" s="4"/>
      <c r="I6" s="4"/>
      <c r="J6" s="4"/>
      <c r="K6" s="4"/>
      <c r="L6" s="4"/>
    </row>
    <row r="7" spans="1:12" ht="12.75" customHeight="1" x14ac:dyDescent="0.3">
      <c r="B7" s="81" t="s">
        <v>18</v>
      </c>
      <c r="C7" s="84"/>
      <c r="D7" s="84"/>
      <c r="E7" s="117">
        <f>'IMD Without Waiver'!F16</f>
        <v>629.6848672528472</v>
      </c>
      <c r="F7" s="118">
        <f>'IMD Without Waiver'!G16</f>
        <v>642.27856459790416</v>
      </c>
      <c r="G7" s="118">
        <f>'IMD Without Waiver'!H16</f>
        <v>655.12413588986226</v>
      </c>
      <c r="H7" s="118">
        <f>'IMD Without Waiver'!I16</f>
        <v>668.22661860765947</v>
      </c>
      <c r="I7" s="119">
        <f>'IMD Without Waiver'!J16</f>
        <v>681.59115097981271</v>
      </c>
      <c r="J7" s="87"/>
      <c r="L7" s="10"/>
    </row>
    <row r="8" spans="1:12" ht="12.75" customHeight="1" x14ac:dyDescent="0.3">
      <c r="B8" s="82" t="s">
        <v>20</v>
      </c>
      <c r="C8" s="301">
        <f>'IMD Without Waiver'!E17</f>
        <v>9794.8206881402966</v>
      </c>
      <c r="D8" s="194">
        <f>'IMD Without Waiver'!C4</f>
        <v>4.8617593471473208E-2</v>
      </c>
      <c r="E8" s="289">
        <f>'IMD Without Waiver'!F17</f>
        <v>10271.021298482277</v>
      </c>
      <c r="F8" s="284">
        <f>'IMD Without Waiver'!G17</f>
        <v>10770.373636508732</v>
      </c>
      <c r="G8" s="284">
        <f>'IMD Without Waiver'!H17</f>
        <v>11294.003283504386</v>
      </c>
      <c r="H8" s="284">
        <f>'IMD Without Waiver'!I17</f>
        <v>11843.090543807286</v>
      </c>
      <c r="I8" s="285">
        <f>'IMD Without Waiver'!J17</f>
        <v>12418.873105311957</v>
      </c>
      <c r="J8" s="290"/>
    </row>
    <row r="9" spans="1:12" ht="12.75" customHeight="1" thickBot="1" x14ac:dyDescent="0.35">
      <c r="B9" s="83" t="s">
        <v>21</v>
      </c>
      <c r="C9" s="85"/>
      <c r="D9" s="85"/>
      <c r="E9" s="291">
        <f>'IMD Without Waiver'!F18</f>
        <v>6467506.6828859793</v>
      </c>
      <c r="F9" s="292">
        <f>'IMD Without Waiver'!G18</f>
        <v>6917580.1194399372</v>
      </c>
      <c r="G9" s="292">
        <f>'IMD Without Waiver'!H18</f>
        <v>7398974.1418430777</v>
      </c>
      <c r="H9" s="292">
        <f>'IMD Without Waiver'!I18</f>
        <v>7913868.34795269</v>
      </c>
      <c r="I9" s="293">
        <f>'IMD Without Waiver'!J18</f>
        <v>8464594.0137218181</v>
      </c>
      <c r="J9" s="294">
        <f>'IMD Without Waiver'!K18</f>
        <v>37162523.305843502</v>
      </c>
    </row>
    <row r="10" spans="1:12" ht="12.75" customHeight="1" x14ac:dyDescent="0.3">
      <c r="B10" s="122"/>
      <c r="C10" s="124"/>
      <c r="D10" s="124"/>
      <c r="E10" s="124"/>
      <c r="F10" s="124"/>
      <c r="G10" s="124"/>
      <c r="H10" s="124"/>
      <c r="I10" s="124"/>
      <c r="J10" s="124"/>
    </row>
    <row r="11" spans="1:12" ht="12.75" customHeight="1" thickBot="1" x14ac:dyDescent="0.35">
      <c r="B11" s="369" t="str">
        <f>'IMD Historical'!B11</f>
        <v>Expansion Adults (VIII Adults) - SMI</v>
      </c>
      <c r="C11" s="369"/>
      <c r="D11" s="369"/>
      <c r="E11" s="4"/>
      <c r="F11" s="4"/>
      <c r="G11" s="4"/>
      <c r="H11" s="4"/>
      <c r="I11" s="4"/>
      <c r="J11" s="4"/>
      <c r="K11" s="30"/>
      <c r="L11" s="30"/>
    </row>
    <row r="12" spans="1:12" ht="12.75" customHeight="1" x14ac:dyDescent="0.3">
      <c r="B12" s="81" t="s">
        <v>18</v>
      </c>
      <c r="C12" s="84"/>
      <c r="D12" s="142"/>
      <c r="E12" s="144">
        <f>'IMD Without Waiver'!F21</f>
        <v>360.75695519694375</v>
      </c>
      <c r="F12" s="118">
        <f>'IMD Without Waiver'!G21</f>
        <v>367.97209430088265</v>
      </c>
      <c r="G12" s="118">
        <f>'IMD Without Waiver'!H21</f>
        <v>375.33153618690028</v>
      </c>
      <c r="H12" s="118">
        <f>'IMD Without Waiver'!I21</f>
        <v>382.83816691063828</v>
      </c>
      <c r="I12" s="119">
        <f>'IMD Without Waiver'!J21</f>
        <v>390.49493024885106</v>
      </c>
      <c r="J12" s="87"/>
      <c r="K12" s="4"/>
      <c r="L12" s="4"/>
    </row>
    <row r="13" spans="1:12" ht="12.75" customHeight="1" x14ac:dyDescent="0.3">
      <c r="B13" s="82" t="s">
        <v>20</v>
      </c>
      <c r="C13" s="301">
        <f>'IMD Without Waiver'!E22</f>
        <v>6874.094754802265</v>
      </c>
      <c r="D13" s="195">
        <f>'IMD Without Waiver'!C5</f>
        <v>4.8606831281506002E-2</v>
      </c>
      <c r="E13" s="283">
        <f>'IMD Without Waiver'!F22</f>
        <v>7208.2227187620238</v>
      </c>
      <c r="F13" s="284">
        <f>'IMD Without Waiver'!G22</f>
        <v>7558.5915842924078</v>
      </c>
      <c r="G13" s="284">
        <f>'IMD Without Waiver'!H22</f>
        <v>7925.9907701559196</v>
      </c>
      <c r="H13" s="284">
        <f>'IMD Without Waiver'!I22</f>
        <v>8311.2480662596627</v>
      </c>
      <c r="I13" s="285">
        <f>'IMD Without Waiver'!J22</f>
        <v>8715.231498755089</v>
      </c>
      <c r="J13" s="290"/>
    </row>
    <row r="14" spans="1:12" ht="12.75" customHeight="1" thickBot="1" x14ac:dyDescent="0.35">
      <c r="B14" s="83" t="s">
        <v>21</v>
      </c>
      <c r="C14" s="85"/>
      <c r="D14" s="143"/>
      <c r="E14" s="286">
        <f>'IMD Without Waiver'!F23</f>
        <v>2600416.4804020235</v>
      </c>
      <c r="F14" s="287">
        <f>'IMD Without Waiver'!G23</f>
        <v>2781350.7752371039</v>
      </c>
      <c r="G14" s="287">
        <f>'IMD Without Waiver'!H23</f>
        <v>2974874.2915658141</v>
      </c>
      <c r="H14" s="287">
        <f>'IMD Without Waiver'!I23</f>
        <v>3181862.9744264362</v>
      </c>
      <c r="I14" s="293">
        <f>'IMD Without Waiver'!J23</f>
        <v>3403253.7162089581</v>
      </c>
      <c r="J14" s="294">
        <f>'IMD Without Waiver'!K23</f>
        <v>14941758.237840336</v>
      </c>
    </row>
    <row r="15" spans="1:12" ht="12.75" customHeight="1" x14ac:dyDescent="0.3">
      <c r="B15" s="75"/>
      <c r="C15" s="76"/>
      <c r="D15" s="76"/>
      <c r="E15" s="76"/>
      <c r="F15" s="76"/>
      <c r="G15" s="76"/>
      <c r="H15" s="76"/>
      <c r="I15" s="76"/>
      <c r="J15" s="76"/>
    </row>
    <row r="16" spans="1:12" ht="12.75" customHeight="1" thickBot="1" x14ac:dyDescent="0.35">
      <c r="B16" s="369" t="str">
        <f>'IMD Historical'!B16</f>
        <v>Medicaid Adults (Non-Group VIII Adults) - SUD</v>
      </c>
      <c r="C16" s="369"/>
      <c r="D16" s="369"/>
      <c r="E16" s="4"/>
      <c r="F16" s="4"/>
      <c r="G16" s="4"/>
      <c r="H16" s="4"/>
      <c r="I16" s="4"/>
      <c r="J16" s="4"/>
      <c r="K16" s="4"/>
      <c r="L16" s="4"/>
    </row>
    <row r="17" spans="2:12" ht="12.75" customHeight="1" x14ac:dyDescent="0.3">
      <c r="B17" s="81" t="s">
        <v>18</v>
      </c>
      <c r="C17" s="84"/>
      <c r="D17" s="84"/>
      <c r="E17" s="117">
        <f>'IMD Without Waiver'!F26</f>
        <v>731.35273644471317</v>
      </c>
      <c r="F17" s="118">
        <f>'IMD Without Waiver'!G26</f>
        <v>745.9797911736074</v>
      </c>
      <c r="G17" s="118">
        <f>'IMD Without Waiver'!H26</f>
        <v>760.89938699707955</v>
      </c>
      <c r="H17" s="118">
        <f>'IMD Without Waiver'!I26</f>
        <v>776.11737473702112</v>
      </c>
      <c r="I17" s="119">
        <f>'IMD Without Waiver'!J26</f>
        <v>791.63972223176154</v>
      </c>
      <c r="J17" s="87"/>
      <c r="L17" s="10"/>
    </row>
    <row r="18" spans="2:12" ht="12.75" customHeight="1" x14ac:dyDescent="0.3">
      <c r="B18" s="82" t="s">
        <v>20</v>
      </c>
      <c r="C18" s="301">
        <f>'IMD Without Waiver'!E27</f>
        <v>1623.6893305224751</v>
      </c>
      <c r="D18" s="194">
        <f>'IMD Without Waiver'!C15</f>
        <v>0</v>
      </c>
      <c r="E18" s="289">
        <f>'IMD Without Waiver'!F27</f>
        <v>1702.6291983177853</v>
      </c>
      <c r="F18" s="284">
        <f>'IMD Without Waiver'!G27</f>
        <v>1785.4069325142598</v>
      </c>
      <c r="G18" s="284">
        <f>'IMD Without Waiver'!H27</f>
        <v>1872.2091209403882</v>
      </c>
      <c r="H18" s="284">
        <f>'IMD Without Waiver'!I27</f>
        <v>1963.2314228758521</v>
      </c>
      <c r="I18" s="285">
        <f>'IMD Without Waiver'!J27</f>
        <v>2058.679010083652</v>
      </c>
      <c r="J18" s="290"/>
    </row>
    <row r="19" spans="2:12" ht="12.75" customHeight="1" thickBot="1" x14ac:dyDescent="0.35">
      <c r="B19" s="83" t="s">
        <v>21</v>
      </c>
      <c r="C19" s="85"/>
      <c r="D19" s="85"/>
      <c r="E19" s="291">
        <f>'IMD Without Waiver'!F28</f>
        <v>1245222.5233403805</v>
      </c>
      <c r="F19" s="292">
        <f>'IMD Without Waiver'!G28</f>
        <v>1331877.4906768985</v>
      </c>
      <c r="G19" s="292">
        <f>'IMD Without Waiver'!H28</f>
        <v>1424562.7724538825</v>
      </c>
      <c r="H19" s="292">
        <f>'IMD Without Waiver'!I28</f>
        <v>1523698.0179236329</v>
      </c>
      <c r="I19" s="293">
        <f>'IMD Without Waiver'!J28</f>
        <v>1629732.0797069801</v>
      </c>
      <c r="J19" s="294">
        <f>'IMD Without Waiver'!K28</f>
        <v>7155092.8841017745</v>
      </c>
    </row>
    <row r="20" spans="2:12" ht="12.75" customHeight="1" x14ac:dyDescent="0.3">
      <c r="B20" s="122"/>
      <c r="C20" s="124"/>
      <c r="D20" s="124"/>
      <c r="E20" s="124"/>
      <c r="F20" s="124"/>
      <c r="G20" s="124"/>
      <c r="H20" s="124"/>
      <c r="I20" s="124"/>
      <c r="J20" s="124"/>
    </row>
    <row r="21" spans="2:12" ht="12.75" customHeight="1" thickBot="1" x14ac:dyDescent="0.35">
      <c r="B21" s="369" t="str">
        <f>'IMD Historical'!B21</f>
        <v>Expansion Adults (VIII Adults) - SUD</v>
      </c>
      <c r="C21" s="369"/>
      <c r="D21" s="369"/>
      <c r="E21" s="4"/>
      <c r="F21" s="4"/>
      <c r="G21" s="4"/>
      <c r="H21" s="4"/>
      <c r="I21" s="4"/>
      <c r="J21" s="4"/>
      <c r="K21" s="30"/>
      <c r="L21" s="30"/>
    </row>
    <row r="22" spans="2:12" ht="12.75" customHeight="1" x14ac:dyDescent="0.3">
      <c r="B22" s="81" t="s">
        <v>18</v>
      </c>
      <c r="C22" s="84"/>
      <c r="D22" s="142"/>
      <c r="E22" s="144">
        <f>'IMD Without Waiver'!F31</f>
        <v>4939.0906775145204</v>
      </c>
      <c r="F22" s="118">
        <f>'IMD Without Waiver'!G31</f>
        <v>5037.8724910648107</v>
      </c>
      <c r="G22" s="118">
        <f>'IMD Without Waiver'!H31</f>
        <v>5138.6299408861069</v>
      </c>
      <c r="H22" s="118">
        <f>'IMD Without Waiver'!I31</f>
        <v>5241.4025397038295</v>
      </c>
      <c r="I22" s="119">
        <f>'IMD Without Waiver'!J31</f>
        <v>5346.2305904979057</v>
      </c>
      <c r="J22" s="87"/>
      <c r="K22" s="4"/>
      <c r="L22" s="4"/>
    </row>
    <row r="23" spans="2:12" ht="12.75" customHeight="1" x14ac:dyDescent="0.3">
      <c r="B23" s="82" t="s">
        <v>20</v>
      </c>
      <c r="C23" s="301">
        <f>'IMD Without Waiver'!E32</f>
        <v>1231.8587467729863</v>
      </c>
      <c r="D23" s="195" t="str">
        <f>'IMD Without Waiver'!C16</f>
        <v>n.a.</v>
      </c>
      <c r="E23" s="283">
        <f>'IMD Without Waiver'!F32</f>
        <v>1291.7354970400281</v>
      </c>
      <c r="F23" s="284">
        <f>'IMD Without Waiver'!G32</f>
        <v>1354.5226664049851</v>
      </c>
      <c r="G23" s="284">
        <f>'IMD Without Waiver'!H32</f>
        <v>1420.3617211179078</v>
      </c>
      <c r="H23" s="284">
        <f>'IMD Without Waiver'!I32</f>
        <v>1489.4010036549955</v>
      </c>
      <c r="I23" s="285">
        <f>'IMD Without Waiver'!J32</f>
        <v>1561.7960669501597</v>
      </c>
      <c r="J23" s="290"/>
    </row>
    <row r="24" spans="2:12" ht="12.75" customHeight="1" thickBot="1" x14ac:dyDescent="0.35">
      <c r="B24" s="83" t="s">
        <v>21</v>
      </c>
      <c r="C24" s="85"/>
      <c r="D24" s="143"/>
      <c r="E24" s="286">
        <f>'IMD Without Waiver'!F33</f>
        <v>6379998.7512449883</v>
      </c>
      <c r="F24" s="287">
        <f>'IMD Without Waiver'!G33</f>
        <v>6823912.4796054317</v>
      </c>
      <c r="G24" s="287">
        <f>'IMD Without Waiver'!H33</f>
        <v>7298713.2670250032</v>
      </c>
      <c r="H24" s="287">
        <f>'IMD Without Waiver'!I33</f>
        <v>7806550.2031947263</v>
      </c>
      <c r="I24" s="293">
        <f>'IMD Without Waiver'!J33</f>
        <v>8349721.9092482589</v>
      </c>
      <c r="J24" s="294">
        <f>'IMD Without Waiver'!K33</f>
        <v>36658896.610318407</v>
      </c>
    </row>
    <row r="25" spans="2:12" ht="12.75" customHeight="1" x14ac:dyDescent="0.3">
      <c r="B25" s="122"/>
      <c r="C25" s="124"/>
      <c r="D25" s="124"/>
      <c r="E25" s="124"/>
      <c r="F25" s="124"/>
      <c r="G25" s="124"/>
      <c r="H25" s="124"/>
      <c r="I25" s="124"/>
      <c r="J25" s="124"/>
    </row>
    <row r="26" spans="2:12" ht="12.75" customHeight="1" thickBot="1" x14ac:dyDescent="0.35">
      <c r="B26" s="369" t="str">
        <f>'IMD Historical'!B26</f>
        <v>Adolescents - SUD</v>
      </c>
      <c r="C26" s="369"/>
      <c r="D26" s="369"/>
      <c r="E26" s="4"/>
      <c r="F26" s="4"/>
      <c r="G26" s="4"/>
      <c r="H26" s="4"/>
      <c r="I26" s="4"/>
      <c r="J26" s="4"/>
    </row>
    <row r="27" spans="2:12" x14ac:dyDescent="0.3">
      <c r="B27" s="81" t="s">
        <v>18</v>
      </c>
      <c r="C27" s="84"/>
      <c r="D27" s="142"/>
      <c r="E27" s="144">
        <f>'IMD Without Waiver'!F36</f>
        <v>101.66786919186596</v>
      </c>
      <c r="F27" s="118">
        <f>'IMD Without Waiver'!G36</f>
        <v>103.70122657570329</v>
      </c>
      <c r="G27" s="118">
        <f>'IMD Without Waiver'!H36</f>
        <v>105.77525110721736</v>
      </c>
      <c r="H27" s="118">
        <f>'IMD Without Waiver'!I36</f>
        <v>107.89075612936171</v>
      </c>
      <c r="I27" s="119">
        <f>'IMD Without Waiver'!J36</f>
        <v>110.04857125194894</v>
      </c>
      <c r="J27" s="87"/>
    </row>
    <row r="28" spans="2:12" x14ac:dyDescent="0.3">
      <c r="B28" s="82" t="s">
        <v>20</v>
      </c>
      <c r="C28" s="301">
        <f>'IMD Without Waiver'!E37</f>
        <v>974.56086524710224</v>
      </c>
      <c r="D28" s="195">
        <f>'IMD Without Waiver'!C8</f>
        <v>4.9198346681243565E-2</v>
      </c>
      <c r="E28" s="283">
        <f>'IMD Without Waiver'!F37</f>
        <v>1022.5076485575019</v>
      </c>
      <c r="F28" s="284">
        <f>'IMD Without Waiver'!G37</f>
        <v>1072.8133343354571</v>
      </c>
      <c r="G28" s="284">
        <f>'IMD Without Waiver'!H37</f>
        <v>1125.5939766823537</v>
      </c>
      <c r="H28" s="284">
        <f>'IMD Without Waiver'!I37</f>
        <v>1180.9713393694917</v>
      </c>
      <c r="I28" s="285">
        <f>'IMD Without Waiver'!J37</f>
        <v>1239.0731767444045</v>
      </c>
      <c r="J28" s="290"/>
    </row>
    <row r="29" spans="2:12" ht="13.5" thickBot="1" x14ac:dyDescent="0.35">
      <c r="B29" s="83" t="s">
        <v>21</v>
      </c>
      <c r="C29" s="85"/>
      <c r="D29" s="143"/>
      <c r="E29" s="286">
        <f>'IMD Without Waiver'!F38</f>
        <v>103956.17386122655</v>
      </c>
      <c r="F29" s="287">
        <f>'IMD Without Waiver'!G38</f>
        <v>111252.05865735696</v>
      </c>
      <c r="G29" s="287">
        <f>'IMD Without Waiver'!H38</f>
        <v>119059.98552834733</v>
      </c>
      <c r="H29" s="287">
        <f>'IMD Without Waiver'!I38</f>
        <v>127415.89077167949</v>
      </c>
      <c r="I29" s="288">
        <f>'IMD Without Waiver'!J38</f>
        <v>136358.23277733533</v>
      </c>
      <c r="J29" s="294">
        <f>'IMD Without Waiver'!K38</f>
        <v>598042.34159594565</v>
      </c>
    </row>
    <row r="30" spans="2:12" ht="12.75" customHeight="1" x14ac:dyDescent="0.3">
      <c r="B30" s="122"/>
      <c r="C30" s="124"/>
      <c r="D30" s="124"/>
      <c r="E30" s="124"/>
      <c r="F30" s="124"/>
      <c r="G30" s="124"/>
      <c r="H30" s="124"/>
      <c r="I30" s="124"/>
      <c r="J30" s="124"/>
    </row>
    <row r="31" spans="2:12" ht="12.75" customHeight="1" thickBot="1" x14ac:dyDescent="0.35">
      <c r="B31" s="369" t="str">
        <f>'IMD Historical'!B31</f>
        <v>Non-Qualified Waiver Nursing Facility Population</v>
      </c>
      <c r="C31" s="369"/>
      <c r="D31" s="369"/>
      <c r="E31" s="4"/>
      <c r="F31" s="4"/>
      <c r="G31" s="4"/>
      <c r="H31" s="4"/>
      <c r="I31" s="4"/>
      <c r="J31" s="4"/>
    </row>
    <row r="32" spans="2:12" x14ac:dyDescent="0.3">
      <c r="B32" s="81" t="s">
        <v>18</v>
      </c>
      <c r="C32" s="84"/>
      <c r="D32" s="142"/>
      <c r="E32" s="144">
        <f>'IMD Without Waiver'!F41</f>
        <v>33639.843154855094</v>
      </c>
      <c r="F32" s="118">
        <f>'IMD Without Waiver'!G41</f>
        <v>34312.640017952195</v>
      </c>
      <c r="G32" s="118">
        <f>'IMD Without Waiver'!H41</f>
        <v>34998.892818311237</v>
      </c>
      <c r="H32" s="118">
        <f>'IMD Without Waiver'!I41</f>
        <v>35698.870674677462</v>
      </c>
      <c r="I32" s="119">
        <f>'IMD Without Waiver'!J41</f>
        <v>36412.848088171013</v>
      </c>
      <c r="J32" s="87"/>
    </row>
    <row r="33" spans="2:11" x14ac:dyDescent="0.3">
      <c r="B33" s="82" t="s">
        <v>20</v>
      </c>
      <c r="C33" s="301">
        <f>'IMD Without Waiver'!E42</f>
        <v>1.4004222378606634</v>
      </c>
      <c r="D33" s="195">
        <f>'IMD Without Waiver'!C9</f>
        <v>0.05</v>
      </c>
      <c r="E33" s="283">
        <f>'IMD Without Waiver'!F42</f>
        <v>1.4704433497536966</v>
      </c>
      <c r="F33" s="284">
        <f>'IMD Without Waiver'!G42</f>
        <v>1.5439655172413815</v>
      </c>
      <c r="G33" s="284">
        <f>'IMD Without Waiver'!H42</f>
        <v>1.6211637931034506</v>
      </c>
      <c r="H33" s="284">
        <f>'IMD Without Waiver'!I42</f>
        <v>1.7022219827586231</v>
      </c>
      <c r="I33" s="285">
        <f>'IMD Without Waiver'!J42</f>
        <v>1.7873330818965543</v>
      </c>
      <c r="J33" s="290"/>
    </row>
    <row r="34" spans="2:11" ht="13.5" thickBot="1" x14ac:dyDescent="0.35">
      <c r="B34" s="83" t="s">
        <v>21</v>
      </c>
      <c r="C34" s="85"/>
      <c r="D34" s="143"/>
      <c r="E34" s="286">
        <f>'IMD Without Waiver'!F43</f>
        <v>49465.483653814088</v>
      </c>
      <c r="F34" s="287">
        <f>'IMD Without Waiver'!G43</f>
        <v>52977.53299323489</v>
      </c>
      <c r="G34" s="287">
        <f>'IMD Without Waiver'!H43</f>
        <v>56738.937835754557</v>
      </c>
      <c r="H34" s="287">
        <f>'IMD Without Waiver'!I43</f>
        <v>60767.402422093139</v>
      </c>
      <c r="I34" s="288">
        <f>'IMD Without Waiver'!J43</f>
        <v>65081.887994061748</v>
      </c>
      <c r="J34" s="294">
        <f>'IMD Without Waiver'!K43</f>
        <v>285031.24489895842</v>
      </c>
    </row>
    <row r="35" spans="2:11" x14ac:dyDescent="0.3">
      <c r="B35" s="185" t="s">
        <v>79</v>
      </c>
      <c r="C35" s="124"/>
      <c r="D35" s="124"/>
      <c r="E35" s="203"/>
      <c r="F35" s="203"/>
      <c r="G35" s="203"/>
      <c r="H35" s="203"/>
      <c r="I35" s="203"/>
      <c r="J35" s="124"/>
    </row>
    <row r="36" spans="2:11" x14ac:dyDescent="0.3">
      <c r="B36" s="122"/>
      <c r="C36" s="124"/>
      <c r="D36" s="124"/>
      <c r="E36" s="124"/>
      <c r="F36" s="124"/>
      <c r="G36" s="124"/>
      <c r="H36" s="124"/>
      <c r="I36" s="124"/>
      <c r="J36" s="124"/>
    </row>
    <row r="37" spans="2:11" ht="13.5" thickBot="1" x14ac:dyDescent="0.35">
      <c r="B37" s="369" t="str">
        <f>'IMD Without Waiver'!B46</f>
        <v>Non-IMD Services CNOM Limit MEG</v>
      </c>
      <c r="C37" s="369"/>
      <c r="D37" s="369"/>
      <c r="E37" s="4"/>
      <c r="F37" s="4"/>
      <c r="G37" s="4"/>
      <c r="H37" s="4"/>
      <c r="I37" s="4"/>
      <c r="J37" s="4"/>
    </row>
    <row r="38" spans="2:11" x14ac:dyDescent="0.3">
      <c r="B38" s="81" t="s">
        <v>18</v>
      </c>
      <c r="C38" s="84" t="str">
        <f>'IMD Without Waiver'!E47</f>
        <v>n.a.</v>
      </c>
      <c r="D38" s="142"/>
      <c r="E38" s="144">
        <f>'IMD Without Waiver'!F47</f>
        <v>0</v>
      </c>
      <c r="F38" s="118">
        <f>'IMD Without Waiver'!G47</f>
        <v>0</v>
      </c>
      <c r="G38" s="118">
        <f>'IMD Without Waiver'!H47</f>
        <v>0</v>
      </c>
      <c r="H38" s="118">
        <f>'IMD Without Waiver'!I47</f>
        <v>0</v>
      </c>
      <c r="I38" s="119">
        <f>'IMD Without Waiver'!J47</f>
        <v>0</v>
      </c>
      <c r="J38" s="87"/>
    </row>
    <row r="39" spans="2:11" x14ac:dyDescent="0.3">
      <c r="B39" s="82" t="s">
        <v>20</v>
      </c>
      <c r="C39" s="301">
        <f>'IMD Without Waiver'!E48</f>
        <v>0</v>
      </c>
      <c r="D39" s="195">
        <f>'IMD Without Waiver'!C10</f>
        <v>0</v>
      </c>
      <c r="E39" s="283">
        <f>'IMD Without Waiver'!F48</f>
        <v>0</v>
      </c>
      <c r="F39" s="284">
        <f>'IMD Without Waiver'!G48</f>
        <v>0</v>
      </c>
      <c r="G39" s="284">
        <f>'IMD Without Waiver'!H48</f>
        <v>0</v>
      </c>
      <c r="H39" s="284">
        <f>'IMD Without Waiver'!I48</f>
        <v>0</v>
      </c>
      <c r="I39" s="285">
        <f>'IMD Without Waiver'!J48</f>
        <v>0</v>
      </c>
      <c r="J39" s="290"/>
    </row>
    <row r="40" spans="2:11" ht="13.5" thickBot="1" x14ac:dyDescent="0.35">
      <c r="B40" s="83" t="s">
        <v>21</v>
      </c>
      <c r="C40" s="85"/>
      <c r="D40" s="143"/>
      <c r="E40" s="286">
        <f>'IMD Without Waiver'!F49</f>
        <v>0</v>
      </c>
      <c r="F40" s="287">
        <f>'IMD Without Waiver'!G49</f>
        <v>0</v>
      </c>
      <c r="G40" s="287">
        <f>'IMD Without Waiver'!H49</f>
        <v>0</v>
      </c>
      <c r="H40" s="287">
        <f>'IMD Without Waiver'!I49</f>
        <v>0</v>
      </c>
      <c r="I40" s="288">
        <f>'IMD Without Waiver'!J49</f>
        <v>0</v>
      </c>
      <c r="J40" s="294">
        <f>'IMD Without Waiver'!K49</f>
        <v>0</v>
      </c>
    </row>
    <row r="41" spans="2:11" x14ac:dyDescent="0.3">
      <c r="B41" s="1"/>
      <c r="C41" s="33"/>
      <c r="D41" s="34"/>
      <c r="E41" s="33"/>
      <c r="F41" s="33"/>
      <c r="G41" s="33"/>
      <c r="H41" s="33"/>
      <c r="I41" s="33"/>
      <c r="J41" s="33"/>
    </row>
    <row r="42" spans="2:11" x14ac:dyDescent="0.3">
      <c r="B42" s="314" t="s">
        <v>132</v>
      </c>
      <c r="C42" s="33"/>
      <c r="D42" s="34"/>
      <c r="E42" s="33"/>
      <c r="F42" s="33"/>
      <c r="G42" s="33"/>
      <c r="H42" s="33"/>
      <c r="I42" s="33"/>
      <c r="J42" s="33"/>
    </row>
    <row r="43" spans="2:11" ht="13.5" thickBot="1" x14ac:dyDescent="0.35">
      <c r="B43" s="25" t="str">
        <f>'IMD Historical'!O42</f>
        <v>Non-Hypothetical Services CNOM MEG</v>
      </c>
      <c r="C43" s="33"/>
      <c r="D43" s="79"/>
      <c r="E43" s="80"/>
      <c r="F43" s="80"/>
      <c r="G43" s="80"/>
      <c r="H43" s="80"/>
      <c r="I43" s="80"/>
      <c r="J43" s="80"/>
    </row>
    <row r="44" spans="2:11" ht="13.5" thickBot="1" x14ac:dyDescent="0.35">
      <c r="B44" s="16" t="s">
        <v>13</v>
      </c>
      <c r="C44" s="36" t="s">
        <v>112</v>
      </c>
      <c r="D44" s="35" t="s">
        <v>14</v>
      </c>
      <c r="E44" s="27" t="s">
        <v>110</v>
      </c>
      <c r="F44" s="366" t="s">
        <v>1</v>
      </c>
      <c r="G44" s="367"/>
      <c r="H44" s="367"/>
      <c r="I44" s="367"/>
      <c r="J44" s="368"/>
      <c r="K44" s="36" t="s">
        <v>2</v>
      </c>
    </row>
    <row r="45" spans="2:11" ht="13.5" thickBot="1" x14ac:dyDescent="0.35">
      <c r="B45" s="17" t="s">
        <v>15</v>
      </c>
      <c r="C45" s="39" t="s">
        <v>73</v>
      </c>
      <c r="D45" s="37" t="s">
        <v>16</v>
      </c>
      <c r="E45" s="38" t="s">
        <v>111</v>
      </c>
      <c r="F45" s="55" t="s">
        <v>3</v>
      </c>
      <c r="G45" s="56" t="s">
        <v>4</v>
      </c>
      <c r="H45" s="56" t="s">
        <v>5</v>
      </c>
      <c r="I45" s="56" t="s">
        <v>6</v>
      </c>
      <c r="J45" s="57" t="s">
        <v>7</v>
      </c>
      <c r="K45" s="39" t="s">
        <v>17</v>
      </c>
    </row>
    <row r="46" spans="2:11" x14ac:dyDescent="0.3">
      <c r="B46" s="81" t="s">
        <v>18</v>
      </c>
      <c r="C46" s="90" t="s">
        <v>19</v>
      </c>
      <c r="D46" s="92" t="s">
        <v>19</v>
      </c>
      <c r="E46" s="84" t="s">
        <v>19</v>
      </c>
      <c r="F46" s="114">
        <f>'IMD Caseloads'!D11</f>
        <v>0</v>
      </c>
      <c r="G46" s="115">
        <f>'IMD Caseloads'!E11</f>
        <v>0</v>
      </c>
      <c r="H46" s="115">
        <f>'IMD Caseloads'!F11</f>
        <v>0</v>
      </c>
      <c r="I46" s="115">
        <f>'IMD Caseloads'!G11</f>
        <v>0</v>
      </c>
      <c r="J46" s="116">
        <f>'IMD Caseloads'!H11</f>
        <v>0</v>
      </c>
      <c r="K46" s="87"/>
    </row>
    <row r="47" spans="2:11" x14ac:dyDescent="0.3">
      <c r="B47" s="82" t="s">
        <v>20</v>
      </c>
      <c r="C47" s="91">
        <f>'IMD Without Waiver'!C10</f>
        <v>0</v>
      </c>
      <c r="D47" s="174"/>
      <c r="E47" s="295">
        <f>'IMD Historical'!O60</f>
        <v>0</v>
      </c>
      <c r="F47" s="296">
        <f>ROUND(E47*(1+C47)^(D47/12),2)</f>
        <v>0</v>
      </c>
      <c r="G47" s="297">
        <f>ROUND((1+$C$47)*F47,2)</f>
        <v>0</v>
      </c>
      <c r="H47" s="297">
        <f t="shared" ref="H47:J47" si="0">ROUND((1+$C$47)*G47,2)</f>
        <v>0</v>
      </c>
      <c r="I47" s="297">
        <f t="shared" si="0"/>
        <v>0</v>
      </c>
      <c r="J47" s="297">
        <f t="shared" si="0"/>
        <v>0</v>
      </c>
      <c r="K47" s="290"/>
    </row>
    <row r="48" spans="2:11" ht="13.5" thickBot="1" x14ac:dyDescent="0.35">
      <c r="B48" s="83" t="s">
        <v>21</v>
      </c>
      <c r="C48" s="274"/>
      <c r="D48" s="86"/>
      <c r="E48" s="294"/>
      <c r="F48" s="298">
        <f>+F46*F47</f>
        <v>0</v>
      </c>
      <c r="G48" s="299">
        <f>+G46*G47</f>
        <v>0</v>
      </c>
      <c r="H48" s="299">
        <f>+H46*H47</f>
        <v>0</v>
      </c>
      <c r="I48" s="299">
        <f>+I46*I47</f>
        <v>0</v>
      </c>
      <c r="J48" s="300">
        <f>+J46*J47</f>
        <v>0</v>
      </c>
      <c r="K48" s="294">
        <f>SUM(F48:J48)</f>
        <v>0</v>
      </c>
    </row>
  </sheetData>
  <mergeCells count="9">
    <mergeCell ref="F44:J44"/>
    <mergeCell ref="B37:D37"/>
    <mergeCell ref="E3:I3"/>
    <mergeCell ref="B6:D6"/>
    <mergeCell ref="B11:D11"/>
    <mergeCell ref="B26:D26"/>
    <mergeCell ref="B16:D16"/>
    <mergeCell ref="B21:D21"/>
    <mergeCell ref="B31:D31"/>
  </mergeCells>
  <pageMargins left="0.7" right="0.7" top="0.75" bottom="0.75" header="0.3" footer="0.3"/>
  <pageSetup orientation="portrait" r:id="rId1"/>
  <ignoredErrors>
    <ignoredError sqref="E7:I7 D8 D13 D28 D39 E47" unlockedFormula="1"/>
    <ignoredError sqref="E38:I38 E28:I28 C28 E13:I13 C13 E27:I27 E12:I12 E39:I39 C40:I40 C38:C39 C29:I29 C14:I14 C8 E8:I8" evalError="1" unlockedFormula="1"/>
    <ignoredError sqref="B9:J11 B8 J8 B25:J26 B36:J37 D38 B38:B40 B13:B14 B12:D12 B28:B29 B27:D27 J12:J14 J27:J29 J38:J40 B41:J41"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1"/>
  <sheetViews>
    <sheetView zoomScale="80" zoomScaleNormal="80" workbookViewId="0">
      <selection activeCell="D57" sqref="D57"/>
    </sheetView>
  </sheetViews>
  <sheetFormatPr defaultColWidth="9.1796875" defaultRowHeight="13" x14ac:dyDescent="0.3"/>
  <cols>
    <col min="1" max="1" width="9.1796875" style="9"/>
    <col min="2" max="2" width="37.1796875" style="9" customWidth="1"/>
    <col min="3" max="8" width="22.1796875" style="30" customWidth="1"/>
    <col min="9" max="16384" width="9.1796875" style="9"/>
  </cols>
  <sheetData>
    <row r="1" spans="1:10" x14ac:dyDescent="0.3">
      <c r="A1" s="10" t="s">
        <v>108</v>
      </c>
    </row>
    <row r="2" spans="1:10" x14ac:dyDescent="0.3">
      <c r="A2" s="10"/>
    </row>
    <row r="3" spans="1:10" x14ac:dyDescent="0.3">
      <c r="B3" s="5" t="s">
        <v>115</v>
      </c>
      <c r="C3" s="4"/>
      <c r="D3" s="4"/>
      <c r="E3" s="4"/>
      <c r="F3" s="4"/>
      <c r="G3" s="4"/>
      <c r="H3" s="4"/>
    </row>
    <row r="4" spans="1:10" ht="13.5" thickBot="1" x14ac:dyDescent="0.35">
      <c r="B4" s="5" t="s">
        <v>0</v>
      </c>
      <c r="C4" s="26"/>
      <c r="D4" s="26"/>
      <c r="E4" s="26"/>
      <c r="F4" s="26"/>
      <c r="G4" s="26"/>
      <c r="H4" s="4"/>
      <c r="J4" s="10"/>
    </row>
    <row r="5" spans="1:10" ht="13.5" thickBot="1" x14ac:dyDescent="0.35">
      <c r="B5" s="215"/>
      <c r="C5" s="363" t="s">
        <v>1</v>
      </c>
      <c r="D5" s="363"/>
      <c r="E5" s="363"/>
      <c r="F5" s="363"/>
      <c r="G5" s="364"/>
      <c r="H5" s="376" t="s">
        <v>2</v>
      </c>
    </row>
    <row r="6" spans="1:10" ht="13.5" thickBot="1" x14ac:dyDescent="0.35">
      <c r="B6" s="216"/>
      <c r="C6" s="210">
        <f>'IMD Without Waiver'!F13</f>
        <v>2024</v>
      </c>
      <c r="D6" s="104">
        <f>'IMD Without Waiver'!G13</f>
        <v>2025</v>
      </c>
      <c r="E6" s="104">
        <f>'IMD Without Waiver'!H13</f>
        <v>2026</v>
      </c>
      <c r="F6" s="104">
        <f>'IMD Without Waiver'!I13</f>
        <v>2027</v>
      </c>
      <c r="G6" s="105">
        <f>'IMD Without Waiver'!J13</f>
        <v>2028</v>
      </c>
      <c r="H6" s="377"/>
    </row>
    <row r="7" spans="1:10" x14ac:dyDescent="0.3">
      <c r="B7" s="217" t="str">
        <f>'IMD Without Waiver'!B15</f>
        <v>Medicaid Adults (Non-Group VIII Adults) - SMI</v>
      </c>
      <c r="C7" s="211">
        <f>INDEX('IMD Without Waiver'!$F$15:$J$43,MATCH($B7,'IMD Without Waiver'!$B$15:$B$43,0)+3,MATCH(C$6,'IMD Without Waiver'!$F$13:$J$13,0))</f>
        <v>6467506.6828859793</v>
      </c>
      <c r="D7" s="126">
        <f>INDEX('IMD Without Waiver'!$F$15:$J$43,MATCH($B7,'IMD Without Waiver'!$B$15:$B$43,0)+3,MATCH(D$6,'IMD Without Waiver'!$F$13:$J$13,0))</f>
        <v>6917580.1194399372</v>
      </c>
      <c r="E7" s="126">
        <f>INDEX('IMD Without Waiver'!$F$15:$J$43,MATCH($B7,'IMD Without Waiver'!$B$15:$B$43,0)+3,MATCH(E$6,'IMD Without Waiver'!$F$13:$J$13,0))</f>
        <v>7398974.1418430777</v>
      </c>
      <c r="F7" s="126">
        <f>INDEX('IMD Without Waiver'!$F$15:$J$43,MATCH($B7,'IMD Without Waiver'!$B$15:$B$43,0)+3,MATCH(F$6,'IMD Without Waiver'!$F$13:$J$13,0))</f>
        <v>7913868.34795269</v>
      </c>
      <c r="G7" s="127">
        <f>INDEX('IMD Without Waiver'!$F$15:$J$43,MATCH($B7,'IMD Without Waiver'!$B$15:$B$43,0)+3,MATCH(G$6,'IMD Without Waiver'!$F$13:$J$13,0))</f>
        <v>8464594.0137218181</v>
      </c>
      <c r="H7" s="128">
        <f>SUM(C7:G7)</f>
        <v>37162523.305843502</v>
      </c>
    </row>
    <row r="8" spans="1:10" x14ac:dyDescent="0.3">
      <c r="B8" s="218" t="str">
        <f>'IMD Without Waiver'!B20</f>
        <v>Expansion Adults (VIII Adults) - SMI</v>
      </c>
      <c r="C8" s="89">
        <f>INDEX('IMD Without Waiver'!$F$15:$J$43,MATCH($B8,'IMD Without Waiver'!$B$15:$B$43,0)+3,MATCH(C$6,'IMD Without Waiver'!$F$13:$J$13,0))</f>
        <v>2600416.4804020235</v>
      </c>
      <c r="D8" s="77">
        <f>INDEX('IMD Without Waiver'!$F$15:$J$43,MATCH($B8,'IMD Without Waiver'!$B$15:$B$43,0)+3,MATCH(D$6,'IMD Without Waiver'!$F$13:$J$13,0))</f>
        <v>2781350.7752371039</v>
      </c>
      <c r="E8" s="77">
        <f>INDEX('IMD Without Waiver'!$F$15:$J$43,MATCH($B8,'IMD Without Waiver'!$B$15:$B$43,0)+3,MATCH(E$6,'IMD Without Waiver'!$F$13:$J$13,0))</f>
        <v>2974874.2915658141</v>
      </c>
      <c r="F8" s="77">
        <f>INDEX('IMD Without Waiver'!$F$15:$J$43,MATCH($B8,'IMD Without Waiver'!$B$15:$B$43,0)+3,MATCH(F$6,'IMD Without Waiver'!$F$13:$J$13,0))</f>
        <v>3181862.9744264362</v>
      </c>
      <c r="G8" s="88">
        <f>INDEX('IMD Without Waiver'!$F$15:$J$43,MATCH($B8,'IMD Without Waiver'!$B$15:$B$43,0)+3,MATCH(G$6,'IMD Without Waiver'!$F$13:$J$13,0))</f>
        <v>3403253.7162089581</v>
      </c>
      <c r="H8" s="94">
        <f t="shared" ref="H8:H11" si="0">SUM(C8:G8)</f>
        <v>14941758.237840336</v>
      </c>
    </row>
    <row r="9" spans="1:10" x14ac:dyDescent="0.3">
      <c r="B9" s="218" t="str">
        <f>'IMD Without Waiver'!B25</f>
        <v>Medicaid Adults (Non-Group VIII Adults) - SUD</v>
      </c>
      <c r="C9" s="212">
        <f>INDEX('IMD Without Waiver'!$F$15:$J$43,MATCH($B9,'IMD Without Waiver'!$B$15:$B$43,0)+3,MATCH(C$6,'IMD Without Waiver'!$F$13:$J$13,0))</f>
        <v>1245222.5233403805</v>
      </c>
      <c r="D9" s="207">
        <f>INDEX('IMD Without Waiver'!$F$15:$J$43,MATCH($B9,'IMD Without Waiver'!$B$15:$B$43,0)+3,MATCH(D$6,'IMD Without Waiver'!$F$13:$J$13,0))</f>
        <v>1331877.4906768985</v>
      </c>
      <c r="E9" s="207">
        <f>INDEX('IMD Without Waiver'!$F$15:$J$43,MATCH($B9,'IMD Without Waiver'!$B$15:$B$43,0)+3,MATCH(E$6,'IMD Without Waiver'!$F$13:$J$13,0))</f>
        <v>1424562.7724538825</v>
      </c>
      <c r="F9" s="207">
        <f>INDEX('IMD Without Waiver'!$F$15:$J$43,MATCH($B9,'IMD Without Waiver'!$B$15:$B$43,0)+3,MATCH(F$6,'IMD Without Waiver'!$F$13:$J$13,0))</f>
        <v>1523698.0179236329</v>
      </c>
      <c r="G9" s="208">
        <f>INDEX('IMD Without Waiver'!$F$15:$J$43,MATCH($B9,'IMD Without Waiver'!$B$15:$B$43,0)+3,MATCH(G$6,'IMD Without Waiver'!$F$13:$J$13,0))</f>
        <v>1629732.0797069801</v>
      </c>
      <c r="H9" s="94">
        <f t="shared" si="0"/>
        <v>7155092.8841017745</v>
      </c>
    </row>
    <row r="10" spans="1:10" x14ac:dyDescent="0.3">
      <c r="B10" s="218" t="str">
        <f>'IMD Without Waiver'!B30</f>
        <v>Expansion Adults (VIII Adults) - SUD</v>
      </c>
      <c r="C10" s="212">
        <f>INDEX('IMD Without Waiver'!$F$15:$J$43,MATCH($B10,'IMD Without Waiver'!$B$15:$B$43,0)+3,MATCH(C$6,'IMD Without Waiver'!$F$13:$J$13,0))</f>
        <v>6379998.7512449883</v>
      </c>
      <c r="D10" s="207">
        <f>INDEX('IMD Without Waiver'!$F$15:$J$43,MATCH($B10,'IMD Without Waiver'!$B$15:$B$43,0)+3,MATCH(D$6,'IMD Without Waiver'!$F$13:$J$13,0))</f>
        <v>6823912.4796054317</v>
      </c>
      <c r="E10" s="207">
        <f>INDEX('IMD Without Waiver'!$F$15:$J$43,MATCH($B10,'IMD Without Waiver'!$B$15:$B$43,0)+3,MATCH(E$6,'IMD Without Waiver'!$F$13:$J$13,0))</f>
        <v>7298713.2670250032</v>
      </c>
      <c r="F10" s="207">
        <f>INDEX('IMD Without Waiver'!$F$15:$J$43,MATCH($B10,'IMD Without Waiver'!$B$15:$B$43,0)+3,MATCH(F$6,'IMD Without Waiver'!$F$13:$J$13,0))</f>
        <v>7806550.2031947263</v>
      </c>
      <c r="G10" s="208">
        <f>INDEX('IMD Without Waiver'!$F$15:$J$43,MATCH($B10,'IMD Without Waiver'!$B$15:$B$43,0)+3,MATCH(G$6,'IMD Without Waiver'!$F$13:$J$13,0))</f>
        <v>8349721.9092482589</v>
      </c>
      <c r="H10" s="94">
        <f t="shared" si="0"/>
        <v>36658896.610318407</v>
      </c>
    </row>
    <row r="11" spans="1:10" x14ac:dyDescent="0.3">
      <c r="B11" s="218" t="str">
        <f>'IMD Without Waiver'!B35</f>
        <v>Adolescents - SUD</v>
      </c>
      <c r="C11" s="212">
        <f>INDEX('IMD Without Waiver'!$F$15:$J$43,MATCH($B11,'IMD Without Waiver'!$B$15:$B$43,0)+3,MATCH(C$6,'IMD Without Waiver'!$F$13:$J$13,0))</f>
        <v>103956.17386122655</v>
      </c>
      <c r="D11" s="207">
        <f>INDEX('IMD Without Waiver'!$F$15:$J$43,MATCH($B11,'IMD Without Waiver'!$B$15:$B$43,0)+3,MATCH(D$6,'IMD Without Waiver'!$F$13:$J$13,0))</f>
        <v>111252.05865735696</v>
      </c>
      <c r="E11" s="207">
        <f>INDEX('IMD Without Waiver'!$F$15:$J$43,MATCH($B11,'IMD Without Waiver'!$B$15:$B$43,0)+3,MATCH(E$6,'IMD Without Waiver'!$F$13:$J$13,0))</f>
        <v>119059.98552834733</v>
      </c>
      <c r="F11" s="207">
        <f>INDEX('IMD Without Waiver'!$F$15:$J$43,MATCH($B11,'IMD Without Waiver'!$B$15:$B$43,0)+3,MATCH(F$6,'IMD Without Waiver'!$F$13:$J$13,0))</f>
        <v>127415.89077167949</v>
      </c>
      <c r="G11" s="208">
        <f>INDEX('IMD Without Waiver'!$F$15:$J$43,MATCH($B11,'IMD Without Waiver'!$B$15:$B$43,0)+3,MATCH(G$6,'IMD Without Waiver'!$F$13:$J$13,0))</f>
        <v>136358.23277733533</v>
      </c>
      <c r="H11" s="97">
        <f t="shared" si="0"/>
        <v>598042.34159594565</v>
      </c>
    </row>
    <row r="12" spans="1:10" x14ac:dyDescent="0.3">
      <c r="B12" s="218" t="str">
        <f>'IMD Without Waiver'!B40</f>
        <v>Non-Qualified Waiver Nursing Facility Population</v>
      </c>
      <c r="C12" s="212">
        <f>INDEX('IMD Without Waiver'!$F$15:$J$43,MATCH($B12,'IMD Without Waiver'!$B$15:$B$43,0)+3,MATCH(C$6,'IMD Without Waiver'!$F$13:$J$13,0))</f>
        <v>49465.483653814088</v>
      </c>
      <c r="D12" s="212">
        <f>INDEX('IMD Without Waiver'!$F$15:$J$43,MATCH($B12,'IMD Without Waiver'!$B$15:$B$43,0)+3,MATCH(D$6,'IMD Without Waiver'!$F$13:$J$13,0))</f>
        <v>52977.53299323489</v>
      </c>
      <c r="E12" s="212">
        <f>INDEX('IMD Without Waiver'!$F$15:$J$43,MATCH($B12,'IMD Without Waiver'!$B$15:$B$43,0)+3,MATCH(E$6,'IMD Without Waiver'!$F$13:$J$13,0))</f>
        <v>56738.937835754557</v>
      </c>
      <c r="F12" s="212">
        <f>INDEX('IMD Without Waiver'!$F$15:$J$43,MATCH($B12,'IMD Without Waiver'!$B$15:$B$43,0)+3,MATCH(F$6,'IMD Without Waiver'!$F$13:$J$13,0))</f>
        <v>60767.402422093139</v>
      </c>
      <c r="G12" s="212">
        <f>INDEX('IMD Without Waiver'!$F$15:$J$43,MATCH($B12,'IMD Without Waiver'!$B$15:$B$43,0)+3,MATCH(G$6,'IMD Without Waiver'!$F$13:$J$13,0))</f>
        <v>65081.887994061748</v>
      </c>
      <c r="H12" s="97">
        <f t="shared" ref="H12" si="1">SUM(C12:G12)</f>
        <v>285031.24489895842</v>
      </c>
    </row>
    <row r="13" spans="1:10" ht="13.5" thickBot="1" x14ac:dyDescent="0.35">
      <c r="B13" s="219" t="s">
        <v>79</v>
      </c>
      <c r="C13" s="213"/>
      <c r="D13" s="77"/>
      <c r="E13" s="77"/>
      <c r="F13" s="77"/>
      <c r="G13" s="88"/>
      <c r="H13" s="204"/>
    </row>
    <row r="14" spans="1:10" ht="13.5" thickBot="1" x14ac:dyDescent="0.35">
      <c r="B14" s="220" t="s">
        <v>8</v>
      </c>
      <c r="C14" s="214">
        <f>SUM(C7:C12)</f>
        <v>16846566.095388412</v>
      </c>
      <c r="D14" s="214">
        <f t="shared" ref="D14:H14" si="2">SUM(D7:D12)</f>
        <v>18018950.456609961</v>
      </c>
      <c r="E14" s="214">
        <f t="shared" si="2"/>
        <v>19272923.396251876</v>
      </c>
      <c r="F14" s="214">
        <f t="shared" si="2"/>
        <v>20614162.83669126</v>
      </c>
      <c r="G14" s="214">
        <f t="shared" si="2"/>
        <v>22048741.839657415</v>
      </c>
      <c r="H14" s="148">
        <f t="shared" si="2"/>
        <v>96801344.624598935</v>
      </c>
    </row>
    <row r="15" spans="1:10" x14ac:dyDescent="0.3">
      <c r="B15" s="59"/>
      <c r="C15" s="29"/>
      <c r="D15" s="29"/>
      <c r="E15" s="29"/>
      <c r="F15" s="29"/>
      <c r="G15" s="29"/>
      <c r="H15" s="28"/>
    </row>
    <row r="16" spans="1:10" ht="13.5" thickBot="1" x14ac:dyDescent="0.35">
      <c r="B16" s="60" t="s">
        <v>9</v>
      </c>
      <c r="C16" s="58"/>
      <c r="D16" s="58"/>
      <c r="E16" s="58"/>
      <c r="F16" s="58"/>
      <c r="G16" s="58"/>
      <c r="H16" s="61"/>
    </row>
    <row r="17" spans="2:10" ht="13.5" thickBot="1" x14ac:dyDescent="0.35">
      <c r="B17" s="221"/>
      <c r="C17" s="210">
        <f>C6</f>
        <v>2024</v>
      </c>
      <c r="D17" s="104">
        <f>D6</f>
        <v>2025</v>
      </c>
      <c r="E17" s="104">
        <f>E6</f>
        <v>2026</v>
      </c>
      <c r="F17" s="104">
        <f>F6</f>
        <v>2027</v>
      </c>
      <c r="G17" s="223">
        <f>G6</f>
        <v>2028</v>
      </c>
      <c r="H17" s="226" t="s">
        <v>8</v>
      </c>
    </row>
    <row r="18" spans="2:10" x14ac:dyDescent="0.3">
      <c r="B18" s="93" t="str">
        <f t="shared" ref="B18:B24" si="3">B7</f>
        <v>Medicaid Adults (Non-Group VIII Adults) - SMI</v>
      </c>
      <c r="C18" s="98">
        <f>INDEX('IMD With Waiver'!$E$6:$J$42,MATCH($B18,'IMD With Waiver'!$B$6:$B$42,0)+3,MATCH(C$6,'IMD With Waiver'!$E$4:$J$4,0))</f>
        <v>6467506.6828859793</v>
      </c>
      <c r="D18" s="99">
        <f>INDEX('IMD With Waiver'!$E$6:$J$42,MATCH($B18,'IMD With Waiver'!$B$6:$B$42,0)+3,MATCH(D$6,'IMD With Waiver'!$E$4:$J$4,0))</f>
        <v>6917580.1194399372</v>
      </c>
      <c r="E18" s="99">
        <f>INDEX('IMD With Waiver'!$E$6:$J$42,MATCH($B18,'IMD With Waiver'!$B$6:$B$42,0)+3,MATCH(E$6,'IMD With Waiver'!$E$4:$J$4,0))</f>
        <v>7398974.1418430777</v>
      </c>
      <c r="F18" s="99">
        <f>INDEX('IMD With Waiver'!$E$6:$J$42,MATCH($B18,'IMD With Waiver'!$B$6:$B$42,0)+3,MATCH(F$6,'IMD With Waiver'!$E$4:$J$4,0))</f>
        <v>7913868.34795269</v>
      </c>
      <c r="G18" s="224">
        <f>INDEX('IMD With Waiver'!$E$6:$J$42,MATCH($B18,'IMD With Waiver'!$B$6:$B$42,0)+3,MATCH(G$6,'IMD With Waiver'!$E$4:$J$4,0))</f>
        <v>8464594.0137218181</v>
      </c>
      <c r="H18" s="100">
        <f>SUM(C18:G18)</f>
        <v>37162523.305843502</v>
      </c>
    </row>
    <row r="19" spans="2:10" x14ac:dyDescent="0.3">
      <c r="B19" s="93" t="str">
        <f t="shared" si="3"/>
        <v>Expansion Adults (VIII Adults) - SMI</v>
      </c>
      <c r="C19" s="98">
        <f>INDEX('IMD With Waiver'!$E$6:$J$42,MATCH($B19,'IMD With Waiver'!$B$6:$B$42,0)+3,MATCH(C$6,'IMD With Waiver'!$E$4:$J$4,0))</f>
        <v>2600416.4804020235</v>
      </c>
      <c r="D19" s="98">
        <f>INDEX('IMD With Waiver'!$E$6:$J$42,MATCH($B19,'IMD With Waiver'!$B$6:$B$42,0)+3,MATCH(D$6,'IMD With Waiver'!$E$4:$J$4,0))</f>
        <v>2781350.7752371039</v>
      </c>
      <c r="E19" s="98">
        <f>INDEX('IMD With Waiver'!$E$6:$J$42,MATCH($B19,'IMD With Waiver'!$B$6:$B$42,0)+3,MATCH(E$6,'IMD With Waiver'!$E$4:$J$4,0))</f>
        <v>2974874.2915658141</v>
      </c>
      <c r="F19" s="98">
        <f>INDEX('IMD With Waiver'!$E$6:$J$42,MATCH($B19,'IMD With Waiver'!$B$6:$B$42,0)+3,MATCH(F$6,'IMD With Waiver'!$E$4:$J$4,0))</f>
        <v>3181862.9744264362</v>
      </c>
      <c r="G19" s="225">
        <f>INDEX('IMD With Waiver'!$E$6:$J$42,MATCH($B19,'IMD With Waiver'!$B$6:$B$42,0)+3,MATCH(G$6,'IMD With Waiver'!$E$4:$J$4,0))</f>
        <v>3403253.7162089581</v>
      </c>
      <c r="H19" s="100">
        <f t="shared" ref="H19:H22" si="4">SUM(C19:G19)</f>
        <v>14941758.237840336</v>
      </c>
    </row>
    <row r="20" spans="2:10" x14ac:dyDescent="0.3">
      <c r="B20" s="93" t="str">
        <f t="shared" si="3"/>
        <v>Medicaid Adults (Non-Group VIII Adults) - SUD</v>
      </c>
      <c r="C20" s="98">
        <f>INDEX('IMD With Waiver'!$E$6:$J$42,MATCH($B20,'IMD With Waiver'!$B$6:$B$42,0)+3,MATCH(C$6,'IMD With Waiver'!$E$4:$J$4,0))</f>
        <v>1245222.5233403805</v>
      </c>
      <c r="D20" s="98">
        <f>INDEX('IMD With Waiver'!$E$6:$J$42,MATCH($B20,'IMD With Waiver'!$B$6:$B$42,0)+3,MATCH(D$6,'IMD With Waiver'!$E$4:$J$4,0))</f>
        <v>1331877.4906768985</v>
      </c>
      <c r="E20" s="98">
        <f>INDEX('IMD With Waiver'!$E$6:$J$42,MATCH($B20,'IMD With Waiver'!$B$6:$B$42,0)+3,MATCH(E$6,'IMD With Waiver'!$E$4:$J$4,0))</f>
        <v>1424562.7724538825</v>
      </c>
      <c r="F20" s="98">
        <f>INDEX('IMD With Waiver'!$E$6:$J$42,MATCH($B20,'IMD With Waiver'!$B$6:$B$42,0)+3,MATCH(F$6,'IMD With Waiver'!$E$4:$J$4,0))</f>
        <v>1523698.0179236329</v>
      </c>
      <c r="G20" s="225">
        <f>INDEX('IMD With Waiver'!$E$6:$J$42,MATCH($B20,'IMD With Waiver'!$B$6:$B$42,0)+3,MATCH(G$6,'IMD With Waiver'!$E$4:$J$4,0))</f>
        <v>1629732.0797069801</v>
      </c>
      <c r="H20" s="100">
        <f t="shared" si="4"/>
        <v>7155092.8841017745</v>
      </c>
    </row>
    <row r="21" spans="2:10" x14ac:dyDescent="0.3">
      <c r="B21" s="93" t="str">
        <f t="shared" si="3"/>
        <v>Expansion Adults (VIII Adults) - SUD</v>
      </c>
      <c r="C21" s="98">
        <f>INDEX('IMD With Waiver'!$E$6:$J$42,MATCH($B21,'IMD With Waiver'!$B$6:$B$42,0)+3,MATCH(C$6,'IMD With Waiver'!$E$4:$J$4,0))</f>
        <v>6379998.7512449883</v>
      </c>
      <c r="D21" s="98">
        <f>INDEX('IMD With Waiver'!$E$6:$J$42,MATCH($B21,'IMD With Waiver'!$B$6:$B$42,0)+3,MATCH(D$6,'IMD With Waiver'!$E$4:$J$4,0))</f>
        <v>6823912.4796054317</v>
      </c>
      <c r="E21" s="98">
        <f>INDEX('IMD With Waiver'!$E$6:$J$42,MATCH($B21,'IMD With Waiver'!$B$6:$B$42,0)+3,MATCH(E$6,'IMD With Waiver'!$E$4:$J$4,0))</f>
        <v>7298713.2670250032</v>
      </c>
      <c r="F21" s="98">
        <f>INDEX('IMD With Waiver'!$E$6:$J$42,MATCH($B21,'IMD With Waiver'!$B$6:$B$42,0)+3,MATCH(F$6,'IMD With Waiver'!$E$4:$J$4,0))</f>
        <v>7806550.2031947263</v>
      </c>
      <c r="G21" s="225">
        <f>INDEX('IMD With Waiver'!$E$6:$J$42,MATCH($B21,'IMD With Waiver'!$B$6:$B$42,0)+3,MATCH(G$6,'IMD With Waiver'!$E$4:$J$4,0))</f>
        <v>8349721.9092482589</v>
      </c>
      <c r="H21" s="100">
        <f t="shared" si="4"/>
        <v>36658896.610318407</v>
      </c>
    </row>
    <row r="22" spans="2:10" x14ac:dyDescent="0.3">
      <c r="B22" s="93" t="str">
        <f t="shared" si="3"/>
        <v>Adolescents - SUD</v>
      </c>
      <c r="C22" s="98">
        <f>INDEX('IMD With Waiver'!$E$6:$J$42,MATCH($B22,'IMD With Waiver'!$B$6:$B$42,0)+3,MATCH(C$6,'IMD With Waiver'!$E$4:$J$4,0))</f>
        <v>103956.17386122655</v>
      </c>
      <c r="D22" s="98">
        <f>INDEX('IMD With Waiver'!$E$6:$J$42,MATCH($B22,'IMD With Waiver'!$B$6:$B$42,0)+3,MATCH(D$6,'IMD With Waiver'!$E$4:$J$4,0))</f>
        <v>111252.05865735696</v>
      </c>
      <c r="E22" s="98">
        <f>INDEX('IMD With Waiver'!$E$6:$J$42,MATCH($B22,'IMD With Waiver'!$B$6:$B$42,0)+3,MATCH(E$6,'IMD With Waiver'!$E$4:$J$4,0))</f>
        <v>119059.98552834733</v>
      </c>
      <c r="F22" s="98">
        <f>INDEX('IMD With Waiver'!$E$6:$J$42,MATCH($B22,'IMD With Waiver'!$B$6:$B$42,0)+3,MATCH(F$6,'IMD With Waiver'!$E$4:$J$4,0))</f>
        <v>127415.89077167949</v>
      </c>
      <c r="G22" s="225">
        <f>INDEX('IMD With Waiver'!$E$6:$J$42,MATCH($B22,'IMD With Waiver'!$B$6:$B$42,0)+3,MATCH(G$6,'IMD With Waiver'!$E$4:$J$4,0))</f>
        <v>136358.23277733533</v>
      </c>
      <c r="H22" s="100">
        <f t="shared" si="4"/>
        <v>598042.34159594565</v>
      </c>
    </row>
    <row r="23" spans="2:10" x14ac:dyDescent="0.3">
      <c r="B23" s="93" t="str">
        <f t="shared" si="3"/>
        <v>Non-Qualified Waiver Nursing Facility Population</v>
      </c>
      <c r="C23" s="98">
        <f>INDEX('IMD With Waiver'!$E$6:$J$42,MATCH($B23,'IMD With Waiver'!$B$6:$B$42,0)+3,MATCH(C$6,'IMD With Waiver'!$E$4:$J$4,0))</f>
        <v>49465.483653814088</v>
      </c>
      <c r="D23" s="98">
        <f>INDEX('IMD With Waiver'!$E$6:$J$42,MATCH($B23,'IMD With Waiver'!$B$6:$B$42,0)+3,MATCH(D$6,'IMD With Waiver'!$E$4:$J$4,0))</f>
        <v>52977.53299323489</v>
      </c>
      <c r="E23" s="98">
        <f>INDEX('IMD With Waiver'!$E$6:$J$42,MATCH($B23,'IMD With Waiver'!$B$6:$B$42,0)+3,MATCH(E$6,'IMD With Waiver'!$E$4:$J$4,0))</f>
        <v>56738.937835754557</v>
      </c>
      <c r="F23" s="98">
        <f>INDEX('IMD With Waiver'!$E$6:$J$42,MATCH($B23,'IMD With Waiver'!$B$6:$B$42,0)+3,MATCH(F$6,'IMD With Waiver'!$E$4:$J$4,0))</f>
        <v>60767.402422093139</v>
      </c>
      <c r="G23" s="225">
        <f>INDEX('IMD With Waiver'!$E$6:$J$42,MATCH($B23,'IMD With Waiver'!$B$6:$B$42,0)+3,MATCH(G$6,'IMD With Waiver'!$E$4:$J$4,0))</f>
        <v>65081.887994061748</v>
      </c>
      <c r="H23" s="100">
        <f t="shared" ref="H23" si="5">SUM(C23:G23)</f>
        <v>285031.24489895842</v>
      </c>
    </row>
    <row r="24" spans="2:10" x14ac:dyDescent="0.3">
      <c r="B24" s="222" t="str">
        <f t="shared" si="3"/>
        <v>Continue MEGs from Above, As Needed</v>
      </c>
      <c r="C24" s="89"/>
      <c r="D24" s="77"/>
      <c r="E24" s="77"/>
      <c r="F24" s="77"/>
      <c r="G24" s="88"/>
      <c r="H24" s="94"/>
    </row>
    <row r="25" spans="2:10" ht="13.5" thickBot="1" x14ac:dyDescent="0.35">
      <c r="B25" s="220" t="s">
        <v>8</v>
      </c>
      <c r="C25" s="214">
        <f>SUM(C18:C23)</f>
        <v>16846566.095388412</v>
      </c>
      <c r="D25" s="201">
        <f t="shared" ref="D25:H25" si="6">SUM(D18:D23)</f>
        <v>18018950.456609961</v>
      </c>
      <c r="E25" s="201">
        <f t="shared" si="6"/>
        <v>19272923.396251876</v>
      </c>
      <c r="F25" s="201">
        <f t="shared" si="6"/>
        <v>20614162.83669126</v>
      </c>
      <c r="G25" s="209">
        <f t="shared" si="6"/>
        <v>22048741.839657415</v>
      </c>
      <c r="H25" s="227">
        <f t="shared" si="6"/>
        <v>96801344.624598935</v>
      </c>
    </row>
    <row r="26" spans="2:10" ht="15.75" customHeight="1" thickBot="1" x14ac:dyDescent="0.35">
      <c r="B26" s="373"/>
      <c r="C26" s="374"/>
      <c r="D26" s="374"/>
      <c r="E26" s="374"/>
      <c r="F26" s="374"/>
      <c r="G26" s="374"/>
      <c r="H26" s="375"/>
    </row>
    <row r="27" spans="2:10" s="49" customFormat="1" ht="13.5" thickBot="1" x14ac:dyDescent="0.4">
      <c r="B27" s="95" t="s">
        <v>58</v>
      </c>
      <c r="C27" s="106">
        <f t="shared" ref="C27:H27" si="7">C14-C25</f>
        <v>0</v>
      </c>
      <c r="D27" s="96">
        <f t="shared" si="7"/>
        <v>0</v>
      </c>
      <c r="E27" s="96">
        <f t="shared" si="7"/>
        <v>0</v>
      </c>
      <c r="F27" s="96">
        <f t="shared" si="7"/>
        <v>0</v>
      </c>
      <c r="G27" s="107">
        <f t="shared" si="7"/>
        <v>0</v>
      </c>
      <c r="H27" s="101">
        <f t="shared" si="7"/>
        <v>0</v>
      </c>
      <c r="J27" s="43"/>
    </row>
    <row r="29" spans="2:10" x14ac:dyDescent="0.3">
      <c r="B29" s="147" t="s">
        <v>153</v>
      </c>
    </row>
    <row r="30" spans="2:10" ht="13.5" thickBot="1" x14ac:dyDescent="0.35">
      <c r="B30" s="5" t="s">
        <v>0</v>
      </c>
      <c r="C30" s="26"/>
      <c r="D30" s="26"/>
      <c r="E30" s="26"/>
      <c r="F30" s="26"/>
      <c r="G30" s="26"/>
      <c r="H30" s="4"/>
    </row>
    <row r="31" spans="2:10" ht="13.5" thickBot="1" x14ac:dyDescent="0.35">
      <c r="B31" s="6"/>
      <c r="C31" s="362" t="s">
        <v>1</v>
      </c>
      <c r="D31" s="363"/>
      <c r="E31" s="363"/>
      <c r="F31" s="363"/>
      <c r="G31" s="364"/>
      <c r="H31" s="376" t="s">
        <v>2</v>
      </c>
    </row>
    <row r="32" spans="2:10" ht="13.5" thickBot="1" x14ac:dyDescent="0.35">
      <c r="B32" s="7"/>
      <c r="C32" s="197">
        <f>C6</f>
        <v>2024</v>
      </c>
      <c r="D32" s="198">
        <f>D6</f>
        <v>2025</v>
      </c>
      <c r="E32" s="198">
        <f>E6</f>
        <v>2026</v>
      </c>
      <c r="F32" s="198">
        <f>F6</f>
        <v>2027</v>
      </c>
      <c r="G32" s="199">
        <f>G6</f>
        <v>2028</v>
      </c>
      <c r="H32" s="377"/>
    </row>
    <row r="33" spans="2:8" ht="13.5" thickBot="1" x14ac:dyDescent="0.35">
      <c r="B33" s="125" t="str">
        <f>'IMD Without Waiver'!B46</f>
        <v>Non-IMD Services CNOM Limit MEG</v>
      </c>
      <c r="C33" s="106">
        <f>'IMD Without Waiver'!F49</f>
        <v>0</v>
      </c>
      <c r="D33" s="96">
        <f>'IMD Without Waiver'!G49</f>
        <v>0</v>
      </c>
      <c r="E33" s="96">
        <f>'IMD Without Waiver'!H49</f>
        <v>0</v>
      </c>
      <c r="F33" s="96">
        <f>'IMD Without Waiver'!I49</f>
        <v>0</v>
      </c>
      <c r="G33" s="107">
        <f>'IMD Without Waiver'!J49</f>
        <v>0</v>
      </c>
      <c r="H33" s="196">
        <f>SUM(C33:G33)</f>
        <v>0</v>
      </c>
    </row>
    <row r="34" spans="2:8" ht="13.5" thickBot="1" x14ac:dyDescent="0.35">
      <c r="B34" s="8" t="s">
        <v>8</v>
      </c>
      <c r="C34" s="200">
        <f t="shared" ref="C34:H34" si="8">SUM(C33:C33)</f>
        <v>0</v>
      </c>
      <c r="D34" s="201">
        <f t="shared" si="8"/>
        <v>0</v>
      </c>
      <c r="E34" s="201">
        <f t="shared" si="8"/>
        <v>0</v>
      </c>
      <c r="F34" s="201">
        <f t="shared" si="8"/>
        <v>0</v>
      </c>
      <c r="G34" s="202">
        <f t="shared" si="8"/>
        <v>0</v>
      </c>
      <c r="H34" s="11">
        <f t="shared" si="8"/>
        <v>0</v>
      </c>
    </row>
    <row r="35" spans="2:8" x14ac:dyDescent="0.3">
      <c r="B35" s="59"/>
      <c r="C35" s="29"/>
      <c r="D35" s="29"/>
      <c r="E35" s="29"/>
      <c r="F35" s="29"/>
      <c r="G35" s="29"/>
      <c r="H35" s="28"/>
    </row>
    <row r="36" spans="2:8" ht="13.5" thickBot="1" x14ac:dyDescent="0.35">
      <c r="B36" s="60" t="s">
        <v>9</v>
      </c>
      <c r="C36" s="58"/>
      <c r="D36" s="58"/>
      <c r="E36" s="58"/>
      <c r="F36" s="58"/>
      <c r="G36" s="58"/>
      <c r="H36" s="61"/>
    </row>
    <row r="37" spans="2:8" ht="13.5" thickBot="1" x14ac:dyDescent="0.35">
      <c r="B37" s="102"/>
      <c r="C37" s="103">
        <f>C32</f>
        <v>2024</v>
      </c>
      <c r="D37" s="104">
        <f>D32</f>
        <v>2025</v>
      </c>
      <c r="E37" s="104">
        <f>E32</f>
        <v>2026</v>
      </c>
      <c r="F37" s="104">
        <f>F32</f>
        <v>2027</v>
      </c>
      <c r="G37" s="105">
        <f>G32</f>
        <v>2028</v>
      </c>
      <c r="H37" s="57" t="s">
        <v>8</v>
      </c>
    </row>
    <row r="38" spans="2:8" ht="13.5" thickBot="1" x14ac:dyDescent="0.35">
      <c r="B38" s="93" t="str">
        <f>B33</f>
        <v>Non-IMD Services CNOM Limit MEG</v>
      </c>
      <c r="C38" s="98">
        <f>'IMD With Waiver'!E40</f>
        <v>0</v>
      </c>
      <c r="D38" s="98">
        <f>'IMD With Waiver'!F40</f>
        <v>0</v>
      </c>
      <c r="E38" s="98">
        <f>'IMD With Waiver'!G40</f>
        <v>0</v>
      </c>
      <c r="F38" s="98">
        <f>'IMD With Waiver'!H40</f>
        <v>0</v>
      </c>
      <c r="G38" s="98">
        <f>'IMD With Waiver'!I40</f>
        <v>0</v>
      </c>
      <c r="H38" s="100">
        <f>SUM(C38:G38)</f>
        <v>0</v>
      </c>
    </row>
    <row r="39" spans="2:8" ht="13.5" thickBot="1" x14ac:dyDescent="0.35">
      <c r="B39" s="8" t="s">
        <v>8</v>
      </c>
      <c r="C39" s="106">
        <f t="shared" ref="C39:H39" si="9">SUM(C38:C38)</f>
        <v>0</v>
      </c>
      <c r="D39" s="96">
        <f t="shared" si="9"/>
        <v>0</v>
      </c>
      <c r="E39" s="96">
        <f t="shared" si="9"/>
        <v>0</v>
      </c>
      <c r="F39" s="96">
        <f t="shared" si="9"/>
        <v>0</v>
      </c>
      <c r="G39" s="107">
        <f t="shared" si="9"/>
        <v>0</v>
      </c>
      <c r="H39" s="11">
        <f t="shared" si="9"/>
        <v>0</v>
      </c>
    </row>
    <row r="40" spans="2:8" ht="13.5" thickBot="1" x14ac:dyDescent="0.35">
      <c r="B40" s="373"/>
      <c r="C40" s="374"/>
      <c r="D40" s="374"/>
      <c r="E40" s="374"/>
      <c r="F40" s="374"/>
      <c r="G40" s="374"/>
      <c r="H40" s="375"/>
    </row>
    <row r="41" spans="2:8" ht="13.5" thickBot="1" x14ac:dyDescent="0.35">
      <c r="B41" s="95" t="s">
        <v>58</v>
      </c>
      <c r="C41" s="106">
        <f t="shared" ref="C41:H41" si="10">C34-C39</f>
        <v>0</v>
      </c>
      <c r="D41" s="96">
        <f t="shared" si="10"/>
        <v>0</v>
      </c>
      <c r="E41" s="96">
        <f t="shared" si="10"/>
        <v>0</v>
      </c>
      <c r="F41" s="96">
        <f t="shared" si="10"/>
        <v>0</v>
      </c>
      <c r="G41" s="107">
        <f t="shared" si="10"/>
        <v>0</v>
      </c>
      <c r="H41" s="101">
        <f t="shared" si="10"/>
        <v>0</v>
      </c>
    </row>
    <row r="43" spans="2:8" x14ac:dyDescent="0.3">
      <c r="B43" s="319" t="str">
        <f>'IMD With Waiver'!B42</f>
        <v>Main Budget Neutrality Test (i.e. NOT Hypothetical)</v>
      </c>
    </row>
    <row r="44" spans="2:8" ht="13.5" thickBot="1" x14ac:dyDescent="0.35">
      <c r="B44" s="149" t="str">
        <f>B16</f>
        <v>With-Waiver Total Expenditures</v>
      </c>
    </row>
    <row r="45" spans="2:8" ht="13.5" thickBot="1" x14ac:dyDescent="0.35">
      <c r="B45" s="153"/>
      <c r="C45" s="378" t="str">
        <f>C5</f>
        <v>DEMONSTRATION YEARS (DY)</v>
      </c>
      <c r="D45" s="379"/>
      <c r="E45" s="379"/>
      <c r="F45" s="379"/>
      <c r="G45" s="380"/>
      <c r="H45" s="381" t="s">
        <v>8</v>
      </c>
    </row>
    <row r="46" spans="2:8" ht="13.5" thickBot="1" x14ac:dyDescent="0.35">
      <c r="B46" s="156"/>
      <c r="C46" s="152">
        <f>C6</f>
        <v>2024</v>
      </c>
      <c r="D46" s="150">
        <f t="shared" ref="D46:G46" si="11">D6</f>
        <v>2025</v>
      </c>
      <c r="E46" s="150">
        <f t="shared" si="11"/>
        <v>2026</v>
      </c>
      <c r="F46" s="150">
        <f t="shared" si="11"/>
        <v>2027</v>
      </c>
      <c r="G46" s="155">
        <f t="shared" si="11"/>
        <v>2028</v>
      </c>
      <c r="H46" s="382"/>
    </row>
    <row r="47" spans="2:8" ht="13.5" thickBot="1" x14ac:dyDescent="0.35">
      <c r="B47" s="161" t="str">
        <f>'IMD With Waiver'!B43</f>
        <v>Non-Hypothetical Services CNOM MEG</v>
      </c>
      <c r="C47" s="157">
        <f>'IMD With Waiver'!E47</f>
        <v>0</v>
      </c>
      <c r="D47" s="158">
        <f>'IMD With Waiver'!F47</f>
        <v>0</v>
      </c>
      <c r="E47" s="158">
        <f>'IMD With Waiver'!G47</f>
        <v>0</v>
      </c>
      <c r="F47" s="158">
        <f>'IMD With Waiver'!H47</f>
        <v>0</v>
      </c>
      <c r="G47" s="159">
        <f>'IMD With Waiver'!I47</f>
        <v>0</v>
      </c>
      <c r="H47" s="162">
        <f>SUM(C47:G47)</f>
        <v>0</v>
      </c>
    </row>
    <row r="48" spans="2:8" ht="13.5" thickBot="1" x14ac:dyDescent="0.35">
      <c r="B48" s="151" t="s">
        <v>8</v>
      </c>
      <c r="C48" s="160">
        <f>SUM(C47)</f>
        <v>0</v>
      </c>
      <c r="D48" s="160">
        <f t="shared" ref="D48:G48" si="12">SUM(D47)</f>
        <v>0</v>
      </c>
      <c r="E48" s="160">
        <f t="shared" si="12"/>
        <v>0</v>
      </c>
      <c r="F48" s="160">
        <f t="shared" si="12"/>
        <v>0</v>
      </c>
      <c r="G48" s="160">
        <f t="shared" si="12"/>
        <v>0</v>
      </c>
      <c r="H48" s="154">
        <f>SUM(H47)</f>
        <v>0</v>
      </c>
    </row>
    <row r="50" spans="2:8" ht="13.5" thickBot="1" x14ac:dyDescent="0.35">
      <c r="B50" s="185" t="s">
        <v>77</v>
      </c>
    </row>
    <row r="51" spans="2:8" ht="13.5" thickBot="1" x14ac:dyDescent="0.35">
      <c r="B51" s="228" t="s">
        <v>76</v>
      </c>
      <c r="C51" s="228" t="s">
        <v>65</v>
      </c>
      <c r="D51" s="152">
        <f>'IMD Without Waiver'!F13</f>
        <v>2024</v>
      </c>
      <c r="E51" s="150">
        <f>'IMD Without Waiver'!G13</f>
        <v>2025</v>
      </c>
      <c r="F51" s="150">
        <f>'IMD Without Waiver'!H13</f>
        <v>2026</v>
      </c>
      <c r="G51" s="150">
        <f>'IMD Without Waiver'!I13</f>
        <v>2027</v>
      </c>
      <c r="H51" s="184">
        <f>'IMD Without Waiver'!J13</f>
        <v>2028</v>
      </c>
    </row>
    <row r="52" spans="2:8" x14ac:dyDescent="0.3">
      <c r="B52" s="229" t="str">
        <f>'IMD Without Waiver'!B15</f>
        <v>Medicaid Adults (Non-Group VIII Adults) - SMI</v>
      </c>
      <c r="C52" s="237">
        <f>'IMD Without Waiver'!C4</f>
        <v>4.8617593471473208E-2</v>
      </c>
      <c r="D52" s="233">
        <f>INDEX('IMD With Waiver'!$E$6:$J$42,MATCH($B52,'IMD With Waiver'!$B$6:$B$42,0)+2,MATCH(D$51,'IMD With Waiver'!$E$4:$J$4,0))</f>
        <v>10271.021298482277</v>
      </c>
      <c r="E52" s="186">
        <f>INDEX('IMD With Waiver'!$E$6:$J$42,MATCH($B52,'IMD With Waiver'!$B$6:$B$42,0)+2,MATCH(E$51,'IMD With Waiver'!$E$4:$J$4,0))</f>
        <v>10770.373636508732</v>
      </c>
      <c r="F52" s="186">
        <f>INDEX('IMD With Waiver'!$E$6:$J$42,MATCH($B52,'IMD With Waiver'!$B$6:$B$42,0)+2,MATCH(F$51,'IMD With Waiver'!$E$4:$J$4,0))</f>
        <v>11294.003283504386</v>
      </c>
      <c r="G52" s="186">
        <f>INDEX('IMD With Waiver'!$E$6:$J$42,MATCH($B52,'IMD With Waiver'!$B$6:$B$42,0)+2,MATCH(G$51,'IMD With Waiver'!$E$4:$J$4,0))</f>
        <v>11843.090543807286</v>
      </c>
      <c r="H52" s="187">
        <f>INDEX('IMD With Waiver'!$E$6:$J$42,MATCH($B52,'IMD With Waiver'!$B$6:$B$42,0)+2,MATCH(H$51,'IMD With Waiver'!$E$4:$J$4,0))</f>
        <v>12418.873105311957</v>
      </c>
    </row>
    <row r="53" spans="2:8" x14ac:dyDescent="0.3">
      <c r="B53" s="230" t="str">
        <f>'IMD Without Waiver'!B20</f>
        <v>Expansion Adults (VIII Adults) - SMI</v>
      </c>
      <c r="C53" s="238">
        <f>'IMD Without Waiver'!C5</f>
        <v>4.8606831281506002E-2</v>
      </c>
      <c r="D53" s="234">
        <f>INDEX('IMD With Waiver'!$E$6:$J$42,MATCH($B53,'IMD With Waiver'!$B$6:$B$42,0)+2,MATCH(D$51,'IMD With Waiver'!$E$4:$J$4,0))</f>
        <v>7208.2227187620238</v>
      </c>
      <c r="E53" s="188">
        <f>INDEX('IMD With Waiver'!$E$6:$J$42,MATCH($B53,'IMD With Waiver'!$B$6:$B$42,0)+2,MATCH(E$51,'IMD With Waiver'!$E$4:$J$4,0))</f>
        <v>7558.5915842924078</v>
      </c>
      <c r="F53" s="188">
        <f>INDEX('IMD With Waiver'!$E$6:$J$42,MATCH($B53,'IMD With Waiver'!$B$6:$B$42,0)+2,MATCH(F$51,'IMD With Waiver'!$E$4:$J$4,0))</f>
        <v>7925.9907701559196</v>
      </c>
      <c r="G53" s="188">
        <f>INDEX('IMD With Waiver'!$E$6:$J$42,MATCH($B53,'IMD With Waiver'!$B$6:$B$42,0)+2,MATCH(G$51,'IMD With Waiver'!$E$4:$J$4,0))</f>
        <v>8311.2480662596627</v>
      </c>
      <c r="H53" s="189">
        <f>INDEX('IMD With Waiver'!$E$6:$J$42,MATCH($B53,'IMD With Waiver'!$B$6:$B$42,0)+2,MATCH(H$51,'IMD With Waiver'!$E$4:$J$4,0))</f>
        <v>8715.231498755089</v>
      </c>
    </row>
    <row r="54" spans="2:8" x14ac:dyDescent="0.3">
      <c r="B54" s="230" t="str">
        <f>'IMD Without Waiver'!B25</f>
        <v>Medicaid Adults (Non-Group VIII Adults) - SUD</v>
      </c>
      <c r="C54" s="238">
        <f>'IMD Without Waiver'!C6</f>
        <v>4.8617593471473208E-2</v>
      </c>
      <c r="D54" s="234">
        <f>INDEX('IMD With Waiver'!$E$6:$J$42,MATCH($B54,'IMD With Waiver'!$B$6:$B$42,0)+2,MATCH(D$51,'IMD With Waiver'!$E$4:$J$4,0))</f>
        <v>1702.6291983177853</v>
      </c>
      <c r="E54" s="188">
        <f>INDEX('IMD With Waiver'!$E$6:$J$42,MATCH($B54,'IMD With Waiver'!$B$6:$B$42,0)+2,MATCH(E$51,'IMD With Waiver'!$E$4:$J$4,0))</f>
        <v>1785.4069325142598</v>
      </c>
      <c r="F54" s="188">
        <f>INDEX('IMD With Waiver'!$E$6:$J$42,MATCH($B54,'IMD With Waiver'!$B$6:$B$42,0)+2,MATCH(F$51,'IMD With Waiver'!$E$4:$J$4,0))</f>
        <v>1872.2091209403882</v>
      </c>
      <c r="G54" s="188">
        <f>INDEX('IMD With Waiver'!$E$6:$J$42,MATCH($B54,'IMD With Waiver'!$B$6:$B$42,0)+2,MATCH(G$51,'IMD With Waiver'!$E$4:$J$4,0))</f>
        <v>1963.2314228758521</v>
      </c>
      <c r="H54" s="189">
        <f>INDEX('IMD With Waiver'!$E$6:$J$42,MATCH($B54,'IMD With Waiver'!$B$6:$B$42,0)+2,MATCH(H$51,'IMD With Waiver'!$E$4:$J$4,0))</f>
        <v>2058.679010083652</v>
      </c>
    </row>
    <row r="55" spans="2:8" x14ac:dyDescent="0.3">
      <c r="B55" s="230" t="str">
        <f>'IMD Without Waiver'!B30</f>
        <v>Expansion Adults (VIII Adults) - SUD</v>
      </c>
      <c r="C55" s="238">
        <f>'IMD Without Waiver'!C7</f>
        <v>4.8606831281506002E-2</v>
      </c>
      <c r="D55" s="234">
        <f>INDEX('IMD With Waiver'!$E$6:$J$42,MATCH($B55,'IMD With Waiver'!$B$6:$B$42,0)+2,MATCH(D$51,'IMD With Waiver'!$E$4:$J$4,0))</f>
        <v>1291.7354970400281</v>
      </c>
      <c r="E55" s="188">
        <f>INDEX('IMD With Waiver'!$E$6:$J$42,MATCH($B55,'IMD With Waiver'!$B$6:$B$42,0)+2,MATCH(E$51,'IMD With Waiver'!$E$4:$J$4,0))</f>
        <v>1354.5226664049851</v>
      </c>
      <c r="F55" s="188">
        <f>INDEX('IMD With Waiver'!$E$6:$J$42,MATCH($B55,'IMD With Waiver'!$B$6:$B$42,0)+2,MATCH(F$51,'IMD With Waiver'!$E$4:$J$4,0))</f>
        <v>1420.3617211179078</v>
      </c>
      <c r="G55" s="188">
        <f>INDEX('IMD With Waiver'!$E$6:$J$42,MATCH($B55,'IMD With Waiver'!$B$6:$B$42,0)+2,MATCH(G$51,'IMD With Waiver'!$E$4:$J$4,0))</f>
        <v>1489.4010036549955</v>
      </c>
      <c r="H55" s="189">
        <f>INDEX('IMD With Waiver'!$E$6:$J$42,MATCH($B55,'IMD With Waiver'!$B$6:$B$42,0)+2,MATCH(H$51,'IMD With Waiver'!$E$4:$J$4,0))</f>
        <v>1561.7960669501597</v>
      </c>
    </row>
    <row r="56" spans="2:8" x14ac:dyDescent="0.3">
      <c r="B56" s="230" t="str">
        <f>'IMD Without Waiver'!B35</f>
        <v>Adolescents - SUD</v>
      </c>
      <c r="C56" s="238">
        <f>'IMD Without Waiver'!C8</f>
        <v>4.9198346681243565E-2</v>
      </c>
      <c r="D56" s="234">
        <f>INDEX('IMD With Waiver'!$E$6:$J$42,MATCH($B56,'IMD With Waiver'!$B$6:$B$42,0)+2,MATCH(D$51,'IMD With Waiver'!$E$4:$J$4,0))</f>
        <v>1022.5076485575019</v>
      </c>
      <c r="E56" s="188">
        <f>INDEX('IMD With Waiver'!$E$6:$J$42,MATCH($B56,'IMD With Waiver'!$B$6:$B$42,0)+2,MATCH(E$51,'IMD With Waiver'!$E$4:$J$4,0))</f>
        <v>1072.8133343354571</v>
      </c>
      <c r="F56" s="188">
        <f>INDEX('IMD With Waiver'!$E$6:$J$42,MATCH($B56,'IMD With Waiver'!$B$6:$B$42,0)+2,MATCH(F$51,'IMD With Waiver'!$E$4:$J$4,0))</f>
        <v>1125.5939766823537</v>
      </c>
      <c r="G56" s="188">
        <f>INDEX('IMD With Waiver'!$E$6:$J$42,MATCH($B56,'IMD With Waiver'!$B$6:$B$42,0)+2,MATCH(G$51,'IMD With Waiver'!$E$4:$J$4,0))</f>
        <v>1180.9713393694917</v>
      </c>
      <c r="H56" s="189">
        <f>INDEX('IMD With Waiver'!$E$6:$J$42,MATCH($B56,'IMD With Waiver'!$B$6:$B$42,0)+2,MATCH(H$51,'IMD With Waiver'!$E$4:$J$4,0))</f>
        <v>1239.0731767444045</v>
      </c>
    </row>
    <row r="57" spans="2:8" x14ac:dyDescent="0.3">
      <c r="B57" s="230" t="str">
        <f>'IMD Without Waiver'!B40</f>
        <v>Non-Qualified Waiver Nursing Facility Population</v>
      </c>
      <c r="C57" s="238">
        <f>'IMD Without Waiver'!C9</f>
        <v>0.05</v>
      </c>
      <c r="D57" s="234">
        <f>INDEX('IMD With Waiver'!$E$6:$J$42,MATCH($B57,'IMD With Waiver'!$B$6:$B$42,0)+2,MATCH(D$51,'IMD With Waiver'!$E$4:$J$4,0))</f>
        <v>1.4704433497536966</v>
      </c>
      <c r="E57" s="188">
        <f>INDEX('IMD With Waiver'!$E$6:$J$42,MATCH($B57,'IMD With Waiver'!$B$6:$B$42,0)+2,MATCH(E$51,'IMD With Waiver'!$E$4:$J$4,0))</f>
        <v>1.5439655172413815</v>
      </c>
      <c r="F57" s="188">
        <f>INDEX('IMD With Waiver'!$E$6:$J$42,MATCH($B57,'IMD With Waiver'!$B$6:$B$42,0)+2,MATCH(F$51,'IMD With Waiver'!$E$4:$J$4,0))</f>
        <v>1.6211637931034506</v>
      </c>
      <c r="G57" s="188">
        <f>INDEX('IMD With Waiver'!$E$6:$J$42,MATCH($B57,'IMD With Waiver'!$B$6:$B$42,0)+2,MATCH(G$51,'IMD With Waiver'!$E$4:$J$4,0))</f>
        <v>1.7022219827586231</v>
      </c>
      <c r="H57" s="189">
        <f>INDEX('IMD With Waiver'!$E$6:$J$42,MATCH($B57,'IMD With Waiver'!$B$6:$B$42,0)+2,MATCH(H$51,'IMD With Waiver'!$E$4:$J$4,0))</f>
        <v>1.7873330818965543</v>
      </c>
    </row>
    <row r="58" spans="2:8" x14ac:dyDescent="0.3">
      <c r="B58" s="231" t="str">
        <f>B13</f>
        <v>Continue MEGs from Above, As Needed</v>
      </c>
      <c r="C58" s="239"/>
      <c r="D58" s="235"/>
      <c r="E58" s="205"/>
      <c r="F58" s="205"/>
      <c r="G58" s="205"/>
      <c r="H58" s="206"/>
    </row>
    <row r="59" spans="2:8" ht="13.5" thickBot="1" x14ac:dyDescent="0.35">
      <c r="B59" s="232" t="str">
        <f>'IMD Without Waiver'!B46</f>
        <v>Non-IMD Services CNOM Limit MEG</v>
      </c>
      <c r="C59" s="240">
        <f>'IMD Without Waiver'!C10</f>
        <v>0</v>
      </c>
      <c r="D59" s="236">
        <f>'IMD Without Waiver'!F48</f>
        <v>0</v>
      </c>
      <c r="E59" s="190">
        <f>'IMD Without Waiver'!G48</f>
        <v>0</v>
      </c>
      <c r="F59" s="190">
        <f>'IMD Without Waiver'!H48</f>
        <v>0</v>
      </c>
      <c r="G59" s="190">
        <f>'IMD Without Waiver'!I48</f>
        <v>0</v>
      </c>
      <c r="H59" s="191">
        <f>'IMD Without Waiver'!J48</f>
        <v>0</v>
      </c>
    </row>
    <row r="60" spans="2:8" ht="26.5" thickBot="1" x14ac:dyDescent="0.35">
      <c r="B60" s="308" t="s">
        <v>131</v>
      </c>
      <c r="C60" s="303"/>
      <c r="D60" s="68"/>
      <c r="E60" s="68"/>
      <c r="F60" s="68"/>
      <c r="G60" s="68"/>
      <c r="H60" s="68"/>
    </row>
    <row r="61" spans="2:8" ht="13.5" thickBot="1" x14ac:dyDescent="0.35">
      <c r="B61" s="304" t="str">
        <f>'IMD With Waiver'!B43</f>
        <v>Non-Hypothetical Services CNOM MEG</v>
      </c>
      <c r="C61" s="305">
        <f>'IMD With Waiver'!C47</f>
        <v>0</v>
      </c>
      <c r="D61" s="306">
        <f>'IMD With Waiver'!F47</f>
        <v>0</v>
      </c>
      <c r="E61" s="306">
        <f>'IMD With Waiver'!G47</f>
        <v>0</v>
      </c>
      <c r="F61" s="306">
        <f>'IMD With Waiver'!H47</f>
        <v>0</v>
      </c>
      <c r="G61" s="306">
        <f>'IMD With Waiver'!I47</f>
        <v>0</v>
      </c>
      <c r="H61" s="307">
        <f>'IMD With Waiver'!J47</f>
        <v>0</v>
      </c>
    </row>
  </sheetData>
  <mergeCells count="8">
    <mergeCell ref="B26:H26"/>
    <mergeCell ref="C5:G5"/>
    <mergeCell ref="H5:H6"/>
    <mergeCell ref="C45:G45"/>
    <mergeCell ref="H45:H46"/>
    <mergeCell ref="C31:G31"/>
    <mergeCell ref="H31:H32"/>
    <mergeCell ref="B40:H4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
  <sheetViews>
    <sheetView zoomScale="80" zoomScaleNormal="80" workbookViewId="0">
      <selection activeCell="D22" sqref="D22"/>
    </sheetView>
  </sheetViews>
  <sheetFormatPr defaultColWidth="9.1796875" defaultRowHeight="13" x14ac:dyDescent="0.3"/>
  <cols>
    <col min="1" max="1" width="9.1796875" style="9"/>
    <col min="2" max="2" width="44.453125" style="22" bestFit="1" customWidth="1"/>
    <col min="3" max="3" width="10.54296875" style="22" customWidth="1"/>
    <col min="4" max="8" width="15.54296875" style="30" customWidth="1"/>
    <col min="9" max="16384" width="9.1796875" style="9"/>
  </cols>
  <sheetData>
    <row r="1" spans="1:8" x14ac:dyDescent="0.3">
      <c r="A1" s="10" t="s">
        <v>109</v>
      </c>
    </row>
    <row r="2" spans="1:8" ht="13.5" thickBot="1" x14ac:dyDescent="0.35">
      <c r="A2" s="10"/>
    </row>
    <row r="3" spans="1:8" ht="13.5" thickBot="1" x14ac:dyDescent="0.35">
      <c r="B3" s="19" t="s">
        <v>80</v>
      </c>
      <c r="C3" s="20"/>
      <c r="D3" s="383" t="s">
        <v>1</v>
      </c>
      <c r="E3" s="384"/>
      <c r="F3" s="384"/>
      <c r="G3" s="384"/>
      <c r="H3" s="385"/>
    </row>
    <row r="4" spans="1:8" ht="13.5" thickBot="1" x14ac:dyDescent="0.35">
      <c r="B4" s="20"/>
      <c r="C4" s="178" t="s">
        <v>65</v>
      </c>
      <c r="D4" s="169">
        <f>'IMD Without Waiver'!F13</f>
        <v>2024</v>
      </c>
      <c r="E4" s="63">
        <f>'IMD Without Waiver'!G13</f>
        <v>2025</v>
      </c>
      <c r="F4" s="64">
        <f>'IMD Without Waiver'!H13</f>
        <v>2026</v>
      </c>
      <c r="G4" s="64">
        <f>'IMD Without Waiver'!I13</f>
        <v>2027</v>
      </c>
      <c r="H4" s="65">
        <f>'IMD Without Waiver'!J13</f>
        <v>2028</v>
      </c>
    </row>
    <row r="5" spans="1:8" s="21" customFormat="1" x14ac:dyDescent="0.3">
      <c r="B5" s="52" t="str">
        <f>'IMD Summary'!B18</f>
        <v>Medicaid Adults (Non-Group VIII Adults) - SMI</v>
      </c>
      <c r="C5" s="332">
        <v>0.02</v>
      </c>
      <c r="D5" s="333">
        <f>'IMD Historical'!C8*(1+C5)^4.5</f>
        <v>629.6848672528472</v>
      </c>
      <c r="E5" s="170">
        <f>D5*(1+$C$5)</f>
        <v>642.27856459790416</v>
      </c>
      <c r="F5" s="163">
        <f t="shared" ref="F5:H5" si="0">E5*(1+$C$5)</f>
        <v>655.12413588986226</v>
      </c>
      <c r="G5" s="163">
        <f t="shared" si="0"/>
        <v>668.22661860765947</v>
      </c>
      <c r="H5" s="164">
        <f t="shared" si="0"/>
        <v>681.59115097981271</v>
      </c>
    </row>
    <row r="6" spans="1:8" x14ac:dyDescent="0.3">
      <c r="B6" s="53" t="str">
        <f>'IMD Summary'!B19</f>
        <v>Expansion Adults (VIII Adults) - SMI</v>
      </c>
      <c r="C6" s="179">
        <f>C5</f>
        <v>0.02</v>
      </c>
      <c r="D6" s="334">
        <f>'IMD Historical'!C13*(1+C6)^4.5</f>
        <v>360.75695519694375</v>
      </c>
      <c r="E6" s="171">
        <f>D6*(1+$C$6)</f>
        <v>367.97209430088265</v>
      </c>
      <c r="F6" s="165">
        <f t="shared" ref="F6:H6" si="1">E6*(1+$C$6)</f>
        <v>375.33153618690028</v>
      </c>
      <c r="G6" s="165">
        <f t="shared" si="1"/>
        <v>382.83816691063828</v>
      </c>
      <c r="H6" s="166">
        <f t="shared" si="1"/>
        <v>390.49493024885106</v>
      </c>
    </row>
    <row r="7" spans="1:8" x14ac:dyDescent="0.3">
      <c r="B7" s="53" t="str">
        <f>'IMD Summary'!B20</f>
        <v>Medicaid Adults (Non-Group VIII Adults) - SUD</v>
      </c>
      <c r="C7" s="179">
        <f t="shared" ref="C7:C10" si="2">C6</f>
        <v>0.02</v>
      </c>
      <c r="D7" s="334">
        <f>'IMD Historical'!C18*(1+C7)^4.5</f>
        <v>731.35273644471317</v>
      </c>
      <c r="E7" s="171">
        <f t="shared" ref="E7:E9" si="3">D7*(1+$C$6)</f>
        <v>745.9797911736074</v>
      </c>
      <c r="F7" s="165">
        <f t="shared" ref="F7:F9" si="4">E7*(1+$C$6)</f>
        <v>760.89938699707955</v>
      </c>
      <c r="G7" s="165">
        <f t="shared" ref="G7:G9" si="5">F7*(1+$C$6)</f>
        <v>776.11737473702112</v>
      </c>
      <c r="H7" s="166">
        <f t="shared" ref="H7:H9" si="6">G7*(1+$C$6)</f>
        <v>791.63972223176154</v>
      </c>
    </row>
    <row r="8" spans="1:8" x14ac:dyDescent="0.3">
      <c r="B8" s="53" t="str">
        <f>'IMD Summary'!B21</f>
        <v>Expansion Adults (VIII Adults) - SUD</v>
      </c>
      <c r="C8" s="179">
        <f t="shared" si="2"/>
        <v>0.02</v>
      </c>
      <c r="D8" s="334">
        <f>'IMD Historical'!C23*(1+C8)^4.5</f>
        <v>4939.0906775145204</v>
      </c>
      <c r="E8" s="171">
        <f t="shared" si="3"/>
        <v>5037.8724910648107</v>
      </c>
      <c r="F8" s="165">
        <f t="shared" si="4"/>
        <v>5138.6299408861069</v>
      </c>
      <c r="G8" s="165">
        <f t="shared" si="5"/>
        <v>5241.4025397038295</v>
      </c>
      <c r="H8" s="166">
        <f t="shared" si="6"/>
        <v>5346.2305904979057</v>
      </c>
    </row>
    <row r="9" spans="1:8" x14ac:dyDescent="0.3">
      <c r="B9" s="53" t="str">
        <f>'IMD Summary'!B22</f>
        <v>Adolescents - SUD</v>
      </c>
      <c r="C9" s="179">
        <f t="shared" si="2"/>
        <v>0.02</v>
      </c>
      <c r="D9" s="334">
        <f>'IMD Historical'!C28*(1+C9)^4.5</f>
        <v>101.66786919186596</v>
      </c>
      <c r="E9" s="171">
        <f t="shared" si="3"/>
        <v>103.70122657570329</v>
      </c>
      <c r="F9" s="165">
        <f t="shared" si="4"/>
        <v>105.77525110721736</v>
      </c>
      <c r="G9" s="165">
        <f t="shared" si="5"/>
        <v>107.89075612936171</v>
      </c>
      <c r="H9" s="166">
        <f t="shared" si="6"/>
        <v>110.04857125194894</v>
      </c>
    </row>
    <row r="10" spans="1:8" x14ac:dyDescent="0.3">
      <c r="B10" s="53" t="str">
        <f>'IMD Summary'!B23</f>
        <v>Non-Qualified Waiver Nursing Facility Population</v>
      </c>
      <c r="C10" s="179">
        <f t="shared" si="2"/>
        <v>0.02</v>
      </c>
      <c r="D10" s="334">
        <f>'IMD Historical'!C33</f>
        <v>33639.843154855094</v>
      </c>
      <c r="E10" s="171">
        <f t="shared" ref="E10" si="7">D10*(1+$C$6)</f>
        <v>34312.640017952195</v>
      </c>
      <c r="F10" s="165">
        <f t="shared" ref="F10" si="8">E10*(1+$C$6)</f>
        <v>34998.892818311237</v>
      </c>
      <c r="G10" s="165">
        <f t="shared" ref="G10" si="9">F10*(1+$C$6)</f>
        <v>35698.870674677462</v>
      </c>
      <c r="H10" s="166">
        <f t="shared" ref="H10" si="10">G10*(1+$C$6)</f>
        <v>36412.848088171013</v>
      </c>
    </row>
    <row r="11" spans="1:8" x14ac:dyDescent="0.3">
      <c r="B11" s="53" t="str">
        <f>'IMD Summary'!B33</f>
        <v>Non-IMD Services CNOM Limit MEG</v>
      </c>
      <c r="C11" s="179"/>
      <c r="D11" s="176"/>
      <c r="E11" s="171">
        <f>D11*(1+$C$11)</f>
        <v>0</v>
      </c>
      <c r="F11" s="165">
        <f t="shared" ref="F11:H11" si="11">E11*(1+$C$11)</f>
        <v>0</v>
      </c>
      <c r="G11" s="165">
        <f t="shared" si="11"/>
        <v>0</v>
      </c>
      <c r="H11" s="166">
        <f t="shared" si="11"/>
        <v>0</v>
      </c>
    </row>
    <row r="12" spans="1:8" ht="13.5" thickBot="1" x14ac:dyDescent="0.35">
      <c r="B12" s="54" t="str">
        <f>'IMD Summary'!B47</f>
        <v>Non-Hypothetical Services CNOM MEG</v>
      </c>
      <c r="C12" s="180"/>
      <c r="D12" s="177"/>
      <c r="E12" s="172">
        <f>D12*(1+$C$12)</f>
        <v>0</v>
      </c>
      <c r="F12" s="167">
        <f t="shared" ref="F12:H12" si="12">E12*(1+$C$12)</f>
        <v>0</v>
      </c>
      <c r="G12" s="167">
        <f t="shared" si="12"/>
        <v>0</v>
      </c>
      <c r="H12" s="168">
        <f t="shared" si="12"/>
        <v>0</v>
      </c>
    </row>
  </sheetData>
  <mergeCells count="1">
    <mergeCell ref="D3:H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8886B34E0E9F48BA16FBED9D25C84A" ma:contentTypeVersion="92" ma:contentTypeDescription="Create a new document." ma:contentTypeScope="" ma:versionID="f5c8f55e0dbeccc128f2b978cee1c2b6">
  <xsd:schema xmlns:xsd="http://www.w3.org/2001/XMLSchema" xmlns:xs="http://www.w3.org/2001/XMLSchema" xmlns:p="http://schemas.microsoft.com/office/2006/metadata/properties" xmlns:ns1="http://schemas.microsoft.com/sharepoint/v3" xmlns:ns2="6b9f974d-4be1-4652-82ab-08a778657aa4" xmlns:ns3="http://schemas.microsoft.com/sharepoint/v4" targetNamespace="http://schemas.microsoft.com/office/2006/metadata/properties" ma:root="true" ma:fieldsID="07cd1faf68305155de687363a17cc428" ns1:_="" ns2:_="" ns3:_="">
    <xsd:import namespace="http://schemas.microsoft.com/sharepoint/v3"/>
    <xsd:import namespace="6b9f974d-4be1-4652-82ab-08a778657aa4"/>
    <xsd:import namespace="http://schemas.microsoft.com/sharepoint/v4"/>
    <xsd:element name="properties">
      <xsd:complexType>
        <xsd:sequence>
          <xsd:element name="documentManagement">
            <xsd:complexType>
              <xsd:all>
                <xsd:element ref="ns2:State"/>
                <xsd:element ref="ns2:Divisions"/>
                <xsd:element ref="ns2:Document_x0020_Type"/>
                <xsd:element ref="ns2:Document_x0020_Type_x0020_Descriptor" minOccurs="0"/>
                <xsd:element ref="ns1:FormData" minOccurs="0"/>
                <xsd:element ref="ns2:Document_x0020_Set_x0020_Type" minOccurs="0"/>
                <xsd:element ref="ns3:IconOverlay" minOccurs="0"/>
                <xsd:element ref="ns1:_vti_ItemDeclaredRecord" minOccurs="0"/>
                <xsd:element ref="ns1:_vti_ItemHoldRecordStatus" minOccurs="0"/>
                <xsd:element ref="ns2: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7" nillable="true" ma:displayName="Form Data" ma:hidden="true" ma:internalName="FormData" ma:readOnly="false">
      <xsd:simpleType>
        <xsd:restriction base="dms:Note"/>
      </xsd:simpleType>
    </xsd:element>
    <xsd:element name="_vti_ItemDeclaredRecord" ma:index="16" nillable="true" ma:displayName="Declared Record" ma:hidden="true" ma:internalName="_vti_ItemDeclaredRecord" ma:readOnly="true">
      <xsd:simpleType>
        <xsd:restriction base="dms:DateTime"/>
      </xsd:simpleType>
    </xsd:element>
    <xsd:element name="_vti_ItemHoldRecordStatus" ma:index="17"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b9f974d-4be1-4652-82ab-08a778657aa4" elementFormDefault="qualified">
    <xsd:import namespace="http://schemas.microsoft.com/office/2006/documentManagement/types"/>
    <xsd:import namespace="http://schemas.microsoft.com/office/infopath/2007/PartnerControls"/>
    <xsd:element name="State" ma:index="1" ma:displayName="State" ma:format="Dropdown" ma:internalName="State">
      <xsd:simpleType>
        <xsd:restriction base="dms:Choice">
          <xsd:enumeration value="Other"/>
          <xsd:enumeration value="Alabama"/>
          <xsd:enumeration value="Alaska"/>
          <xsd:enumeration value="Arizona"/>
          <xsd:enumeration value="Arkansas"/>
          <xsd:enumeration value="California"/>
          <xsd:enumeration value="Colorado"/>
          <xsd:enumeration value="Connecticut"/>
          <xsd:enumeration value="Delaware"/>
          <xsd:enumeration value="Florida"/>
          <xsd:enumeration value="Georgia"/>
          <xsd:enumeration value="Hawaii"/>
          <xsd:enumeration value="Idaho"/>
          <xsd:enumeration value="Illinois"/>
          <xsd:enumeration value="Indiana"/>
          <xsd:enumeration value="Iowa"/>
          <xsd:enumeration value="Kansas"/>
          <xsd:enumeration value="Kentucky"/>
          <xsd:enumeration value="Louisiana"/>
          <xsd:enumeration value="Maine"/>
          <xsd:enumeration value="Maryland"/>
          <xsd:enumeration value="Massachusetts"/>
          <xsd:enumeration value="Michigan"/>
          <xsd:enumeration value="Minnesota"/>
          <xsd:enumeration value="Mississippi"/>
          <xsd:enumeration value="Missouri"/>
          <xsd:enumeration value="Montana"/>
          <xsd:enumeration value="Nebraska"/>
          <xsd:enumeration value="Nevada"/>
          <xsd:enumeration value="New Hampshire"/>
          <xsd:enumeration value="New Jersey"/>
          <xsd:enumeration value="New Mexico"/>
          <xsd:enumeration value="New York"/>
          <xsd:enumeration value="North Carolina"/>
          <xsd:enumeration value="North Dakota"/>
          <xsd:enumeration value="Ohio"/>
          <xsd:enumeration value="Oklahoma"/>
          <xsd:enumeration value="Oregon"/>
          <xsd:enumeration value="Pennsylvania"/>
          <xsd:enumeration value="Rhode Island"/>
          <xsd:enumeration value="South Carolina"/>
          <xsd:enumeration value="South Dakota"/>
          <xsd:enumeration value="Tennessee"/>
          <xsd:enumeration value="Texas"/>
          <xsd:enumeration value="Utah"/>
          <xsd:enumeration value="Vermont"/>
          <xsd:enumeration value="Virginia"/>
          <xsd:enumeration value="Washington"/>
          <xsd:enumeration value="West Virginia"/>
          <xsd:enumeration value="Wisconsin"/>
          <xsd:enumeration value="Wyoming"/>
        </xsd:restriction>
      </xsd:simpleType>
    </xsd:element>
    <xsd:element name="Divisions" ma:index="2" ma:displayName="Division" ma:description="&#10;" ma:format="Dropdown" ma:internalName="Divisions" ma:readOnly="false">
      <xsd:simpleType>
        <xsd:restriction base="dms:Choice">
          <xsd:enumeration value="DDME"/>
          <xsd:enumeration value="DMED"/>
          <xsd:enumeration value="DSDW"/>
          <xsd:enumeration value="DSRD"/>
        </xsd:restriction>
      </xsd:simpleType>
    </xsd:element>
    <xsd:element name="Document_x0020_Type" ma:index="3" ma:displayName="Document Type" ma:description="" ma:list="{2817c478-d000-48a1-a8db-f5160062febf}" ma:internalName="Document_x0020_Type" ma:readOnly="false" ma:showField="Title" ma:web="{BFED16DA-A8CA-46EC-A4AA-C7C509893314}">
      <xsd:simpleType>
        <xsd:restriction base="dms:Lookup"/>
      </xsd:simpleType>
    </xsd:element>
    <xsd:element name="Document_x0020_Type_x0020_Descriptor" ma:index="4" nillable="true" ma:displayName="Program Type" ma:list="{3747dcd6-9357-477b-8666-38504625f1ac}" ma:internalName="Document_x0020_Type_x0020_Descriptor" ma:showField="Title" ma:web="{BFED16DA-A8CA-46EC-A4AA-C7C509893314}">
      <xsd:complexType>
        <xsd:complexContent>
          <xsd:extension base="dms:MultiChoiceLookup">
            <xsd:sequence>
              <xsd:element name="Value" type="dms:Lookup" maxOccurs="unbounded" minOccurs="0" nillable="true"/>
            </xsd:sequence>
          </xsd:extension>
        </xsd:complexContent>
      </xsd:complexType>
    </xsd:element>
    <xsd:element name="Document_x0020_Set_x0020_Type" ma:index="8" nillable="true" ma:displayName="Document Set Type" ma:description="" ma:hidden="true" ma:list="{d2aafb2a-d240-4133-80c5-d19b1f13bc4c}" ma:internalName="Document_x0020_Set_x0020_Type" ma:readOnly="false" ma:showField="Title" ma:web="{BFED16DA-A8CA-46EC-A4AA-C7C509893314}">
      <xsd:simpleType>
        <xsd:restriction base="dms:Lookup"/>
      </xsd:simpleType>
    </xsd:element>
    <xsd:element name="Review_x0020_Comments" ma:index="22" nillable="true" ma:displayName="Review Comments" ma:hidden="true" ma:internalName="Review_x0020_Comment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Type_x0020_Descriptor xmlns="6b9f974d-4be1-4652-82ab-08a778657aa4">
      <Value>16</Value>
    </Document_x0020_Type_x0020_Descriptor>
    <Review_x0020_Comments xmlns="6b9f974d-4be1-4652-82ab-08a778657aa4">Original Comments: 
Draft SUD BN template w/ sample data.
Review Request:
 for TDs review
 </Review_x0020_Comments>
    <Divisions xmlns="6b9f974d-4be1-4652-82ab-08a778657aa4">DSRD</Divisions>
    <Document_x0020_Type xmlns="6b9f974d-4be1-4652-82ab-08a778657aa4">16</Document_x0020_Type>
    <IconOverlay xmlns="http://schemas.microsoft.com/sharepoint/v4" xsi:nil="true"/>
    <State xmlns="6b9f974d-4be1-4652-82ab-08a778657aa4">Other</State>
    <FormData xmlns="http://schemas.microsoft.com/sharepoint/v3" xsi:nil="true"/>
    <Document_x0020_Set_x0020_Type xmlns="6b9f974d-4be1-4652-82ab-08a778657aa4" xsi:nil="true"/>
  </documentManagement>
</p:properties>
</file>

<file path=customXml/itemProps1.xml><?xml version="1.0" encoding="utf-8"?>
<ds:datastoreItem xmlns:ds="http://schemas.openxmlformats.org/officeDocument/2006/customXml" ds:itemID="{5278E0F0-D15E-4738-895E-51F32B4FFE13}">
  <ds:schemaRefs>
    <ds:schemaRef ds:uri="http://schemas.microsoft.com/sharepoint/v3/contenttype/forms"/>
  </ds:schemaRefs>
</ds:datastoreItem>
</file>

<file path=customXml/itemProps2.xml><?xml version="1.0" encoding="utf-8"?>
<ds:datastoreItem xmlns:ds="http://schemas.openxmlformats.org/officeDocument/2006/customXml" ds:itemID="{3F9A5481-0A77-4184-B824-6CA3BC855F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9f974d-4be1-4652-82ab-08a778657aa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D7A985-CAC8-406B-9E56-3661FDB3953A}">
  <ds:schemaRefs>
    <ds:schemaRef ds:uri="http://schemas.microsoft.com/office/2006/metadata/properties"/>
    <ds:schemaRef ds:uri="http://schemas.openxmlformats.org/package/2006/metadata/core-properties"/>
    <ds:schemaRef ds:uri="http://schemas.microsoft.com/sharepoint/v3"/>
    <ds:schemaRef ds:uri="http://purl.org/dc/terms/"/>
    <ds:schemaRef ds:uri="http://schemas.microsoft.com/office/2006/documentManagement/types"/>
    <ds:schemaRef ds:uri="http://schemas.microsoft.com/office/infopath/2007/PartnerControls"/>
    <ds:schemaRef ds:uri="http://schemas.microsoft.com/sharepoint/v4"/>
    <ds:schemaRef ds:uri="http://purl.org/dc/elements/1.1/"/>
    <ds:schemaRef ds:uri="6b9f974d-4be1-4652-82ab-08a778657aa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IMD Overview</vt:lpstr>
      <vt:lpstr>IMD Historical</vt:lpstr>
      <vt:lpstr>IMD Without Waiver</vt:lpstr>
      <vt:lpstr>IMD With Waiver</vt:lpstr>
      <vt:lpstr>IMD Summary</vt:lpstr>
      <vt:lpstr>IMD Caseloads</vt:lpstr>
      <vt:lpstr>'IMD Overview'!_ftn1</vt:lpstr>
      <vt:lpstr>'IMD Overview'!_ftnref1</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IMD Budget Neutrality Template</dc:title>
  <dc:creator>Adam Goldman</dc:creator>
  <cp:lastModifiedBy>Jillian Salmon</cp:lastModifiedBy>
  <dcterms:created xsi:type="dcterms:W3CDTF">2017-08-30T16:42:22Z</dcterms:created>
  <dcterms:modified xsi:type="dcterms:W3CDTF">2022-10-27T18:22:32Z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0x010100228886B34E0E9F48BA16FBED9D25C84A</vt:lpwstr>
  </property>
  <property fmtid="{D5CDD505-2E9C-101B-9397-08002B2CF9AE}" pid="3" name="Comments">
    <vt:lpwstr>Draft SUD BN template w/ sample data.</vt:lpwstr>
  </property>
  <property fmtid="{D5CDD505-2E9C-101B-9397-08002B2CF9AE}" pid="4" name="WorkflowChangePath">
    <vt:lpwstr>5678c5d4-ae02-4f25-9639-837131be4fdc,6;</vt:lpwstr>
  </property>
  <property fmtid="{D5CDD505-2E9C-101B-9397-08002B2CF9AE}" pid="5" name="_NewReviewCycle">
    <vt:lpwstr/>
  </property>
</Properties>
</file>