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https://nhgov-my.sharepoint.com/personal/olivia_l_may_dhhs_nh_gov/Documents/Documents/Dental/To Post/1115/"/>
    </mc:Choice>
  </mc:AlternateContent>
  <bookViews>
    <workbookView xWindow="-110" yWindow="-110" windowWidth="19420" windowHeight="10420" activeTab="2"/>
  </bookViews>
  <sheets>
    <sheet name="SUD Overview" sheetId="6" r:id="rId1"/>
    <sheet name="SUD Historical" sheetId="2" r:id="rId2"/>
    <sheet name="SUD Without Waiver" sheetId="3" r:id="rId3"/>
    <sheet name="SUD With Waiver" sheetId="5" r:id="rId4"/>
    <sheet name="SUD Summary" sheetId="1" r:id="rId5"/>
    <sheet name="SUD Caseloads" sheetId="4" r:id="rId6"/>
  </sheets>
  <definedNames>
    <definedName name="_ftn1" localSheetId="0">'SUD Overview'!$B$17</definedName>
    <definedName name="_ftnref1" localSheetId="0">'SUD Overview'!$B$7</definedName>
    <definedName name="Pop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1" l="1"/>
  <c r="F50" i="1"/>
  <c r="E50" i="1"/>
  <c r="E49" i="1"/>
  <c r="E48" i="1"/>
  <c r="E47" i="1"/>
  <c r="D50" i="1"/>
  <c r="D49" i="1"/>
  <c r="D48" i="1"/>
  <c r="D47" i="1"/>
  <c r="C50" i="1"/>
  <c r="H27" i="5"/>
  <c r="G27" i="5"/>
  <c r="F27" i="5"/>
  <c r="E27" i="5"/>
  <c r="I26" i="5"/>
  <c r="H26" i="5"/>
  <c r="G26" i="5"/>
  <c r="F26" i="5"/>
  <c r="E26" i="5"/>
  <c r="H25" i="5"/>
  <c r="G25" i="5"/>
  <c r="F25" i="5"/>
  <c r="E25" i="5"/>
  <c r="I21" i="5"/>
  <c r="H21" i="5"/>
  <c r="G21" i="5"/>
  <c r="F21" i="5"/>
  <c r="E21" i="5"/>
  <c r="H15" i="5"/>
  <c r="G15" i="5"/>
  <c r="F15" i="5"/>
  <c r="E15" i="5"/>
  <c r="H9" i="5"/>
  <c r="G9" i="5"/>
  <c r="F9" i="5"/>
  <c r="E9" i="5"/>
  <c r="I9" i="5"/>
  <c r="I27" i="5"/>
  <c r="J25" i="3"/>
  <c r="J28" i="3" s="1"/>
  <c r="H28" i="5" s="1"/>
  <c r="I25" i="3"/>
  <c r="I28" i="3" s="1"/>
  <c r="G28" i="5" s="1"/>
  <c r="H25" i="3"/>
  <c r="H28" i="3" s="1"/>
  <c r="F28" i="5" s="1"/>
  <c r="G25" i="3"/>
  <c r="G28" i="3" s="1"/>
  <c r="E28" i="5" s="1"/>
  <c r="K25" i="3"/>
  <c r="H50" i="1" l="1"/>
  <c r="K28" i="3"/>
  <c r="I25" i="5"/>
  <c r="I15" i="5"/>
  <c r="E19" i="1"/>
  <c r="D19" i="1"/>
  <c r="C19" i="1"/>
  <c r="B24" i="5"/>
  <c r="F19" i="1"/>
  <c r="B24" i="3"/>
  <c r="B50" i="1" s="1"/>
  <c r="B38" i="2"/>
  <c r="G37" i="2"/>
  <c r="F37" i="2"/>
  <c r="E37" i="2"/>
  <c r="D37" i="2"/>
  <c r="G36" i="2"/>
  <c r="F36" i="2"/>
  <c r="E36" i="2"/>
  <c r="D36" i="2"/>
  <c r="G34" i="2"/>
  <c r="F34" i="2"/>
  <c r="F38" i="2" s="1"/>
  <c r="E34" i="2"/>
  <c r="D34" i="2"/>
  <c r="C34" i="2"/>
  <c r="B11" i="1" l="1"/>
  <c r="B19" i="1" s="1"/>
  <c r="B7" i="4" s="1"/>
  <c r="D38" i="2"/>
  <c r="E38" i="2"/>
  <c r="L28" i="3"/>
  <c r="J28" i="5" s="1"/>
  <c r="I28" i="5"/>
  <c r="G19" i="1" s="1"/>
  <c r="H19" i="1" s="1"/>
  <c r="G38" i="2"/>
  <c r="H38" i="2" s="1"/>
  <c r="E26" i="3" l="1"/>
  <c r="D11" i="1"/>
  <c r="C11" i="1"/>
  <c r="F25" i="3"/>
  <c r="D26" i="5" s="1"/>
  <c r="E25" i="3"/>
  <c r="C26" i="5" s="1"/>
  <c r="E24" i="3"/>
  <c r="E11" i="1" l="1"/>
  <c r="F11" i="1"/>
  <c r="G11" i="1"/>
  <c r="H11" i="1" l="1"/>
  <c r="F7" i="3"/>
  <c r="D4" i="4" l="1"/>
  <c r="G7" i="3" s="1"/>
  <c r="G10" i="3" s="1"/>
  <c r="D5" i="4"/>
  <c r="D6" i="4"/>
  <c r="E6" i="4" l="1"/>
  <c r="E5" i="4"/>
  <c r="E4" i="4" l="1"/>
  <c r="H7" i="3" s="1"/>
  <c r="H10" i="3" s="1"/>
  <c r="G16" i="2"/>
  <c r="I19" i="3" l="1"/>
  <c r="C42" i="2" l="1"/>
  <c r="C41" i="2"/>
  <c r="C40" i="2"/>
  <c r="D20" i="5" l="1"/>
  <c r="D14" i="5"/>
  <c r="D8" i="5"/>
  <c r="D46" i="1" l="1"/>
  <c r="E46" i="1"/>
  <c r="F46" i="1"/>
  <c r="G46" i="1"/>
  <c r="H46" i="1"/>
  <c r="F32" i="3"/>
  <c r="D37" i="5" s="1"/>
  <c r="C49" i="1"/>
  <c r="C48" i="1"/>
  <c r="C51" i="1" l="1"/>
  <c r="D32" i="5"/>
  <c r="K60" i="2"/>
  <c r="J60" i="2"/>
  <c r="E9" i="4" l="1"/>
  <c r="F9" i="4" s="1"/>
  <c r="G9" i="4" s="1"/>
  <c r="H9" i="4" s="1"/>
  <c r="E8" i="4"/>
  <c r="F8" i="4" s="1"/>
  <c r="G8" i="4" s="1"/>
  <c r="H8" i="4" s="1"/>
  <c r="F55" i="2" l="1"/>
  <c r="F56" i="2"/>
  <c r="F57" i="2"/>
  <c r="C40" i="1"/>
  <c r="B39" i="1"/>
  <c r="B24" i="1"/>
  <c r="B4" i="1"/>
  <c r="F52" i="2" l="1"/>
  <c r="F53" i="2"/>
  <c r="F54" i="2"/>
  <c r="F58" i="2"/>
  <c r="F49" i="2" l="1"/>
  <c r="F51" i="2"/>
  <c r="F50" i="2"/>
  <c r="B35" i="5" l="1"/>
  <c r="B42" i="1" s="1"/>
  <c r="B9" i="4" s="1"/>
  <c r="B30" i="3"/>
  <c r="B30" i="5" s="1"/>
  <c r="C31" i="5"/>
  <c r="E19" i="3"/>
  <c r="E13" i="3"/>
  <c r="F36" i="5"/>
  <c r="G36" i="5"/>
  <c r="H36" i="5"/>
  <c r="I36" i="5"/>
  <c r="E36" i="5"/>
  <c r="E37" i="5"/>
  <c r="F37" i="5" s="1"/>
  <c r="G37" i="5" s="1"/>
  <c r="H37" i="5" s="1"/>
  <c r="I37" i="5" s="1"/>
  <c r="B18" i="5"/>
  <c r="B12" i="5"/>
  <c r="B18" i="3"/>
  <c r="B12" i="3"/>
  <c r="F19" i="3"/>
  <c r="F13" i="3"/>
  <c r="I44" i="2"/>
  <c r="H44" i="2"/>
  <c r="B29" i="2"/>
  <c r="G28" i="2"/>
  <c r="F28" i="2"/>
  <c r="E28" i="2"/>
  <c r="D28" i="2"/>
  <c r="G27" i="2"/>
  <c r="F27" i="2"/>
  <c r="E27" i="2"/>
  <c r="D27" i="2"/>
  <c r="G25" i="2"/>
  <c r="F25" i="2"/>
  <c r="E20" i="3" s="1"/>
  <c r="I20" i="3" s="1"/>
  <c r="E25" i="2"/>
  <c r="D25" i="2"/>
  <c r="C25" i="2"/>
  <c r="B20" i="2"/>
  <c r="G19" i="2"/>
  <c r="F19" i="2"/>
  <c r="E19" i="2"/>
  <c r="D19" i="2"/>
  <c r="G18" i="2"/>
  <c r="F18" i="2"/>
  <c r="E18" i="2"/>
  <c r="D18" i="2"/>
  <c r="F16" i="2"/>
  <c r="E14" i="3" s="1"/>
  <c r="I14" i="3" s="1"/>
  <c r="F48" i="1" s="1"/>
  <c r="E16" i="2"/>
  <c r="D16" i="2"/>
  <c r="C16" i="2"/>
  <c r="G44" i="2"/>
  <c r="F49" i="1" l="1"/>
  <c r="I22" i="3"/>
  <c r="B9" i="1"/>
  <c r="B17" i="1" s="1"/>
  <c r="B5" i="4" s="1"/>
  <c r="B48" i="1"/>
  <c r="B10" i="1"/>
  <c r="B18" i="1" s="1"/>
  <c r="B6" i="4" s="1"/>
  <c r="B49" i="1"/>
  <c r="B28" i="1"/>
  <c r="B8" i="4" s="1"/>
  <c r="B51" i="1"/>
  <c r="E29" i="2"/>
  <c r="F29" i="2"/>
  <c r="D29" i="2"/>
  <c r="E20" i="2"/>
  <c r="G29" i="2"/>
  <c r="H29" i="2" s="1"/>
  <c r="F20" i="2"/>
  <c r="D20" i="2"/>
  <c r="G20" i="2"/>
  <c r="H20" i="2" s="1"/>
  <c r="E7" i="3"/>
  <c r="B6" i="5"/>
  <c r="E17" i="3" l="1"/>
  <c r="C17" i="3"/>
  <c r="B33" i="1"/>
  <c r="C37" i="5"/>
  <c r="F4" i="5" l="1"/>
  <c r="G4" i="5"/>
  <c r="H4" i="5"/>
  <c r="I4" i="5"/>
  <c r="E4" i="5"/>
  <c r="E3" i="4"/>
  <c r="F3" i="4"/>
  <c r="G3" i="4"/>
  <c r="H3" i="4"/>
  <c r="D3" i="4"/>
  <c r="H31" i="3" l="1"/>
  <c r="F31" i="5" s="1"/>
  <c r="I31" i="3"/>
  <c r="G31" i="5" s="1"/>
  <c r="J31" i="3"/>
  <c r="H31" i="5" s="1"/>
  <c r="K31" i="3"/>
  <c r="I31" i="5" s="1"/>
  <c r="G31" i="3"/>
  <c r="E31" i="5" l="1"/>
  <c r="D23" i="6"/>
  <c r="C23" i="6"/>
  <c r="E9" i="2" l="1"/>
  <c r="F9" i="2"/>
  <c r="G9" i="2"/>
  <c r="E10" i="2"/>
  <c r="F10" i="2"/>
  <c r="G10" i="2"/>
  <c r="D7" i="2"/>
  <c r="E7" i="2"/>
  <c r="F7" i="2"/>
  <c r="E8" i="3" s="1"/>
  <c r="I8" i="3" s="1"/>
  <c r="G7" i="2"/>
  <c r="B6" i="3"/>
  <c r="F31" i="3"/>
  <c r="D7" i="1"/>
  <c r="D15" i="1" s="1"/>
  <c r="E7" i="1"/>
  <c r="E15" i="1" s="1"/>
  <c r="F7" i="1"/>
  <c r="F15" i="1" s="1"/>
  <c r="G7" i="1"/>
  <c r="G15" i="1" s="1"/>
  <c r="C7" i="1"/>
  <c r="C15" i="1" s="1"/>
  <c r="B11" i="2"/>
  <c r="C7" i="2"/>
  <c r="J8" i="3" l="1"/>
  <c r="G47" i="1" s="1"/>
  <c r="F47" i="1"/>
  <c r="G11" i="2"/>
  <c r="H11" i="2" s="1"/>
  <c r="C11" i="3" s="1"/>
  <c r="B8" i="1"/>
  <c r="B16" i="1" s="1"/>
  <c r="B4" i="4" s="1"/>
  <c r="B47" i="1"/>
  <c r="G27" i="1"/>
  <c r="G32" i="1" s="1"/>
  <c r="G41" i="1"/>
  <c r="E27" i="1"/>
  <c r="E32" i="1" s="1"/>
  <c r="E41" i="1"/>
  <c r="F27" i="1"/>
  <c r="F32" i="1" s="1"/>
  <c r="F41" i="1"/>
  <c r="C27" i="1"/>
  <c r="C32" i="1" s="1"/>
  <c r="C41" i="1"/>
  <c r="D27" i="1"/>
  <c r="D32" i="1" s="1"/>
  <c r="D41" i="1"/>
  <c r="F11" i="2"/>
  <c r="E11" i="2"/>
  <c r="D10" i="2"/>
  <c r="D11" i="2"/>
  <c r="D9" i="2"/>
  <c r="E38" i="5" l="1"/>
  <c r="C42" i="1" s="1"/>
  <c r="C43" i="1" s="1"/>
  <c r="E11" i="3" l="1"/>
  <c r="C47" i="1"/>
  <c r="E32" i="3" l="1"/>
  <c r="C32" i="5" s="1"/>
  <c r="G32" i="3" l="1"/>
  <c r="D51" i="1" s="1"/>
  <c r="E32" i="5" l="1"/>
  <c r="G33" i="3"/>
  <c r="H32" i="3"/>
  <c r="E51" i="1" s="1"/>
  <c r="F32" i="5" l="1"/>
  <c r="H33" i="3"/>
  <c r="I32" i="3"/>
  <c r="F51" i="1" s="1"/>
  <c r="E33" i="5"/>
  <c r="C33" i="1" s="1"/>
  <c r="C28" i="1"/>
  <c r="F38" i="5"/>
  <c r="C34" i="1" l="1"/>
  <c r="G32" i="5"/>
  <c r="J32" i="3"/>
  <c r="G51" i="1" s="1"/>
  <c r="I33" i="3"/>
  <c r="C29" i="1"/>
  <c r="G38" i="5"/>
  <c r="E42" i="1" s="1"/>
  <c r="E43" i="1" s="1"/>
  <c r="F33" i="5"/>
  <c r="D33" i="1" s="1"/>
  <c r="D34" i="1" s="1"/>
  <c r="D28" i="1"/>
  <c r="D29" i="1" s="1"/>
  <c r="D42" i="1"/>
  <c r="C36" i="1" l="1"/>
  <c r="D36" i="1"/>
  <c r="H38" i="5"/>
  <c r="H32" i="5"/>
  <c r="J33" i="3"/>
  <c r="K32" i="3"/>
  <c r="H51" i="1" s="1"/>
  <c r="D43" i="1"/>
  <c r="G33" i="5"/>
  <c r="E33" i="1" s="1"/>
  <c r="E34" i="1" s="1"/>
  <c r="E28" i="1"/>
  <c r="E29" i="1" s="1"/>
  <c r="F42" i="1" l="1"/>
  <c r="I38" i="5"/>
  <c r="G42" i="1" s="1"/>
  <c r="G43" i="1" s="1"/>
  <c r="F28" i="1"/>
  <c r="F29" i="1" s="1"/>
  <c r="H33" i="5"/>
  <c r="F33" i="1" s="1"/>
  <c r="E36" i="1"/>
  <c r="K33" i="3"/>
  <c r="L33" i="3" s="1"/>
  <c r="J33" i="5" s="1"/>
  <c r="I32" i="5"/>
  <c r="J38" i="5" l="1"/>
  <c r="F43" i="1"/>
  <c r="H42" i="1"/>
  <c r="H43" i="1" s="1"/>
  <c r="F34" i="1"/>
  <c r="F36" i="1" s="1"/>
  <c r="I33" i="5"/>
  <c r="G33" i="1" s="1"/>
  <c r="G34" i="1" s="1"/>
  <c r="G28" i="1"/>
  <c r="G29" i="1" s="1"/>
  <c r="H28" i="1" l="1"/>
  <c r="H29" i="1" s="1"/>
  <c r="H33" i="1"/>
  <c r="H34" i="1" s="1"/>
  <c r="G36" i="1"/>
  <c r="H36" i="1" l="1"/>
  <c r="G19" i="3" l="1"/>
  <c r="G22" i="3" s="1"/>
  <c r="G13" i="3" l="1"/>
  <c r="G16" i="3" s="1"/>
  <c r="E19" i="5"/>
  <c r="H19" i="3"/>
  <c r="H22" i="3" s="1"/>
  <c r="E7" i="5"/>
  <c r="I7" i="3"/>
  <c r="I10" i="3" s="1"/>
  <c r="F7" i="5" l="1"/>
  <c r="E13" i="5"/>
  <c r="F19" i="5"/>
  <c r="G6" i="4"/>
  <c r="G4" i="4"/>
  <c r="J7" i="3" s="1"/>
  <c r="J10" i="3" s="1"/>
  <c r="I13" i="3"/>
  <c r="I16" i="3" s="1"/>
  <c r="H13" i="3"/>
  <c r="H16" i="3" s="1"/>
  <c r="J19" i="3" l="1"/>
  <c r="H6" i="4"/>
  <c r="K19" i="3" s="1"/>
  <c r="G7" i="5"/>
  <c r="H4" i="4"/>
  <c r="K7" i="3" s="1"/>
  <c r="G19" i="5"/>
  <c r="F13" i="5"/>
  <c r="G5" i="4"/>
  <c r="J13" i="3" s="1"/>
  <c r="H19" i="5" l="1"/>
  <c r="H5" i="4"/>
  <c r="K13" i="3" s="1"/>
  <c r="G13" i="5"/>
  <c r="I7" i="5"/>
  <c r="I19" i="5"/>
  <c r="H7" i="5"/>
  <c r="I13" i="5" l="1"/>
  <c r="H13" i="5"/>
  <c r="D47" i="2" l="1"/>
  <c r="F47" i="2" s="1"/>
  <c r="H60" i="2" s="1"/>
  <c r="D48" i="2"/>
  <c r="F48" i="2" s="1"/>
  <c r="I60" i="2" s="1"/>
  <c r="E29" i="3" l="1"/>
  <c r="E18" i="3"/>
  <c r="D46" i="2"/>
  <c r="F46" i="2" s="1"/>
  <c r="G60" i="2" s="1"/>
  <c r="E12" i="3" l="1"/>
  <c r="C14" i="5"/>
  <c r="C20" i="5"/>
  <c r="E20" i="5" l="1"/>
  <c r="E14" i="5"/>
  <c r="C8" i="5"/>
  <c r="F20" i="5" l="1"/>
  <c r="F14" i="5"/>
  <c r="E8" i="5"/>
  <c r="G14" i="5" l="1"/>
  <c r="J14" i="3"/>
  <c r="G20" i="5"/>
  <c r="J20" i="3"/>
  <c r="F8" i="5"/>
  <c r="G49" i="1" l="1"/>
  <c r="J22" i="3"/>
  <c r="G48" i="1"/>
  <c r="J16" i="3"/>
  <c r="H20" i="5"/>
  <c r="K20" i="3"/>
  <c r="G8" i="5"/>
  <c r="H14" i="5"/>
  <c r="K14" i="3"/>
  <c r="H48" i="1" l="1"/>
  <c r="K16" i="3"/>
  <c r="L16" i="3" s="1"/>
  <c r="H49" i="1"/>
  <c r="K22" i="3"/>
  <c r="L22" i="3" s="1"/>
  <c r="I14" i="5"/>
  <c r="I20" i="5"/>
  <c r="H8" i="5"/>
  <c r="K8" i="3"/>
  <c r="H47" i="1" l="1"/>
  <c r="K10" i="3"/>
  <c r="I8" i="5"/>
  <c r="C8" i="1" l="1"/>
  <c r="C10" i="1"/>
  <c r="E10" i="5" l="1"/>
  <c r="C16" i="1" s="1"/>
  <c r="C9" i="1"/>
  <c r="C12" i="1" s="1"/>
  <c r="E22" i="5"/>
  <c r="C18" i="1" s="1"/>
  <c r="D10" i="1" l="1"/>
  <c r="E16" i="5"/>
  <c r="C17" i="1" s="1"/>
  <c r="C20" i="1" l="1"/>
  <c r="C22" i="1" s="1"/>
  <c r="F10" i="5"/>
  <c r="D16" i="1" s="1"/>
  <c r="D8" i="1"/>
  <c r="F16" i="5"/>
  <c r="D17" i="1" s="1"/>
  <c r="F22" i="5"/>
  <c r="D18" i="1" s="1"/>
  <c r="D20" i="1" l="1"/>
  <c r="G22" i="5"/>
  <c r="E18" i="1" s="1"/>
  <c r="E10" i="1"/>
  <c r="D9" i="1"/>
  <c r="D12" i="1" s="1"/>
  <c r="H22" i="5" l="1"/>
  <c r="F18" i="1" s="1"/>
  <c r="F10" i="1"/>
  <c r="D22" i="1"/>
  <c r="G10" i="1"/>
  <c r="J22" i="5"/>
  <c r="I22" i="5"/>
  <c r="G18" i="1" s="1"/>
  <c r="E9" i="1"/>
  <c r="G16" i="5"/>
  <c r="E17" i="1" s="1"/>
  <c r="H18" i="1" l="1"/>
  <c r="H16" i="5"/>
  <c r="F17" i="1" s="1"/>
  <c r="H10" i="1"/>
  <c r="F9" i="1"/>
  <c r="G9" i="1" l="1"/>
  <c r="H9" i="1" s="1"/>
  <c r="J16" i="5"/>
  <c r="I16" i="5"/>
  <c r="G17" i="1" s="1"/>
  <c r="H17" i="1" s="1"/>
  <c r="G10" i="5"/>
  <c r="E16" i="1" s="1"/>
  <c r="E20" i="1" s="1"/>
  <c r="E8" i="1" l="1"/>
  <c r="E12" i="1" s="1"/>
  <c r="E22" i="1" l="1"/>
  <c r="H10" i="5" l="1"/>
  <c r="F16" i="1" s="1"/>
  <c r="F20" i="1" s="1"/>
  <c r="I10" i="5" l="1"/>
  <c r="G16" i="1" s="1"/>
  <c r="G20" i="1" s="1"/>
  <c r="G8" i="1"/>
  <c r="G12" i="1" s="1"/>
  <c r="L10" i="3"/>
  <c r="J10" i="5" s="1"/>
  <c r="F8" i="1"/>
  <c r="F12" i="1" s="1"/>
  <c r="H16" i="1" l="1"/>
  <c r="H20" i="1" s="1"/>
  <c r="G22" i="1"/>
  <c r="F22" i="1"/>
  <c r="H8" i="1"/>
  <c r="H12" i="1" s="1"/>
  <c r="H22" i="1" l="1"/>
</calcChain>
</file>

<file path=xl/sharedStrings.xml><?xml version="1.0" encoding="utf-8"?>
<sst xmlns="http://schemas.openxmlformats.org/spreadsheetml/2006/main" count="274" uniqueCount="147">
  <si>
    <t>Without-Waiver Total Expenditures</t>
  </si>
  <si>
    <t>DEMONSTRATION YEARS (DY)</t>
  </si>
  <si>
    <t xml:space="preserve">TOTAL </t>
  </si>
  <si>
    <t>DY 01</t>
  </si>
  <si>
    <t>DY 02</t>
  </si>
  <si>
    <t>DY 03</t>
  </si>
  <si>
    <t>DY 04</t>
  </si>
  <si>
    <t>DY 05</t>
  </si>
  <si>
    <t>TOTAL</t>
  </si>
  <si>
    <t>With-Waiver Total Expenditures</t>
  </si>
  <si>
    <t xml:space="preserve">TOTAL EXPENDITURES </t>
  </si>
  <si>
    <t xml:space="preserve">ELIGIBLE MEMBER MONTHS </t>
  </si>
  <si>
    <t xml:space="preserve">PMPM COST </t>
  </si>
  <si>
    <t xml:space="preserve">TREND RATES </t>
  </si>
  <si>
    <t>TOTAL EXPENDITURE</t>
  </si>
  <si>
    <t/>
  </si>
  <si>
    <t>ELIGIBLE MEMBER MONTHS</t>
  </si>
  <si>
    <t>SUD Historical Spending Data - 5 Years</t>
  </si>
  <si>
    <t>5-YEARS</t>
  </si>
  <si>
    <t>ELIGIBILITY</t>
  </si>
  <si>
    <t>TREND</t>
  </si>
  <si>
    <t>MONTHS</t>
  </si>
  <si>
    <t>BASE YEAR</t>
  </si>
  <si>
    <t>GROUP</t>
  </si>
  <si>
    <t>RATE 1</t>
  </si>
  <si>
    <t xml:space="preserve"> OF AGING</t>
  </si>
  <si>
    <t>DY 00</t>
  </si>
  <si>
    <t>RATE 2</t>
  </si>
  <si>
    <t>WOW</t>
  </si>
  <si>
    <t>Eligible Member Months</t>
  </si>
  <si>
    <t>n.a.</t>
  </si>
  <si>
    <t>PMPM Cost</t>
  </si>
  <si>
    <t>Total Expenditure</t>
  </si>
  <si>
    <t>TOTAL WW</t>
  </si>
  <si>
    <t>Scenario 1</t>
  </si>
  <si>
    <t>Without Waiver (i.e., budget neutrality limit)</t>
  </si>
  <si>
    <t xml:space="preserve">·         Estimated average of all MA costs incurred during IMD MMs. </t>
  </si>
  <si>
    <t>·         Est. total MA cost in IMD MMs ÷ est. IMD MMs</t>
  </si>
  <si>
    <t>Member Months</t>
  </si>
  <si>
    <t>BN Expenditure Limit</t>
  </si>
  <si>
    <t>·         PMPM cost × IMD MMs</t>
  </si>
  <si>
    <t xml:space="preserve">With Waiver </t>
  </si>
  <si>
    <t>Expenditures Subject to Limit</t>
  </si>
  <si>
    <t>·         All MA costs with dates of service during IMD MMs</t>
  </si>
  <si>
    <t>Reporting Requirements</t>
  </si>
  <si>
    <t>State must be able to identify and report:</t>
  </si>
  <si>
    <t>·         IMD MMs separate from other Medicaid months of eligibility</t>
  </si>
  <si>
    <t xml:space="preserve">·         MA costs during IMD MMs separate from other MA costs </t>
  </si>
  <si>
    <t>Scenario 2</t>
  </si>
  <si>
    <t>·         Estimate of average SUD CNOM service cost during Non-IMD MMs</t>
  </si>
  <si>
    <t>·         Est. total SUD CNOM service cost ÷ est. Non-IMD MMs</t>
  </si>
  <si>
    <t>·         SUD CNOM service cost can include capitated cost of IMD services</t>
  </si>
  <si>
    <t>·         PMPM cost × Non-IMD MMs</t>
  </si>
  <si>
    <t>·         All SUD CNOM service costs with dates of service during Non-IMD MMs</t>
  </si>
  <si>
    <t>·         Non-IMD MMs separate from IMD MMs</t>
  </si>
  <si>
    <t>·         SUD CNOM costs separate from other MA costs</t>
  </si>
  <si>
    <r>
      <t xml:space="preserve">·         IMD MM: Any </t>
    </r>
    <r>
      <rPr>
        <i/>
        <sz val="10"/>
        <color theme="1"/>
        <rFont val="Calibri Light"/>
        <family val="2"/>
        <scheme val="major"/>
      </rPr>
      <t>whole</t>
    </r>
    <r>
      <rPr>
        <sz val="10"/>
        <color theme="1"/>
        <rFont val="Calibri Light"/>
        <family val="2"/>
        <scheme val="major"/>
      </rPr>
      <t xml:space="preserve"> month during which a Medicaid eligible is inpatient in an IMD at least 1 day</t>
    </r>
  </si>
  <si>
    <r>
      <t xml:space="preserve">·         </t>
    </r>
    <r>
      <rPr>
        <i/>
        <sz val="10"/>
        <color theme="1"/>
        <rFont val="Calibri Light"/>
        <family val="2"/>
        <scheme val="major"/>
      </rPr>
      <t>Can</t>
    </r>
    <r>
      <rPr>
        <sz val="10"/>
        <color theme="1"/>
        <rFont val="Calibri Light"/>
        <family val="2"/>
        <scheme val="major"/>
      </rPr>
      <t xml:space="preserve"> exclude months with ≤ 15 IMD inpatient days under managed care</t>
    </r>
  </si>
  <si>
    <r>
      <t xml:space="preserve">·         Non-IMD MM: Any month of Medicaid eligibility in which a person </t>
    </r>
    <r>
      <rPr>
        <i/>
        <sz val="10"/>
        <color theme="1"/>
        <rFont val="Calibri Light"/>
        <family val="2"/>
        <scheme val="major"/>
      </rPr>
      <t xml:space="preserve">could </t>
    </r>
    <r>
      <rPr>
        <sz val="10"/>
        <color theme="1"/>
        <rFont val="Calibri Light"/>
        <family val="2"/>
        <scheme val="major"/>
      </rPr>
      <t>receive a SUD CNOM service that is not an IMD MM</t>
    </r>
  </si>
  <si>
    <t>Glossary of Abbreviations</t>
  </si>
  <si>
    <t>CNOM = expenditure authority (cost not otherwise matchable)</t>
  </si>
  <si>
    <t>IMD = institution for mental diseases</t>
  </si>
  <si>
    <t>MA = medical assistance</t>
  </si>
  <si>
    <t>MM = member month</t>
  </si>
  <si>
    <t>SUD = substance abuse disorder</t>
  </si>
  <si>
    <t>Notes</t>
  </si>
  <si>
    <t xml:space="preserve">1.      Date of service for capitation payments is the month of coverage for which the capitation is paid.  </t>
  </si>
  <si>
    <t>Estimation for the IMD Cost Limit</t>
  </si>
  <si>
    <t>The IMD Cost Limit represents the projected cost of medical assistance during months in which Medicaid eligible are patients at the IMD.  These are the acceptable ways for the state to determine the PMPMs for the IMD Cost Limit.</t>
  </si>
  <si>
    <t>Estimation of the SUD Hypothetical CNOM Services Limit</t>
  </si>
  <si>
    <t xml:space="preserve">The SUD Hypothetical CNOM Services Limit represents the projected average PMPM cost of additional expenditure authority services for the population eligible to receive them.  This can include the estimated average cost of IMD services, if these costs are being averaged out across an entire covered population through inclusion in capitated payment rates to Medicaid managed care plans.  </t>
  </si>
  <si>
    <t>Trends</t>
  </si>
  <si>
    <t>Multiple MEGs</t>
  </si>
  <si>
    <t>Member Month Non-Duplication</t>
  </si>
  <si>
    <t xml:space="preserve">·         State can top off IMD Cost Limit PMPMs with an additional estimated amount representing any additional CNOM services that affected individuals may also receive during IMD months.  </t>
  </si>
  <si>
    <t xml:space="preserve">·         Since states are unlikely to have actually covered these services in the past, they will not have historical data for projecting future costs.  </t>
  </si>
  <si>
    <t xml:space="preserve">·         The PMPM cost estimate should be an average expected cost of hypothetical additional expenditure authority services for individuals who are eligible to receive those services.  It should not be a cost per month of service use.  </t>
  </si>
  <si>
    <t>Service 7</t>
  </si>
  <si>
    <t>Service 8</t>
  </si>
  <si>
    <t>Service 9</t>
  </si>
  <si>
    <t>Add additional services, as necessary</t>
  </si>
  <si>
    <t>Estimated PMPM Cost</t>
  </si>
  <si>
    <t>Totals</t>
  </si>
  <si>
    <t>Net Overspend</t>
  </si>
  <si>
    <t>Historical Years Definition:</t>
  </si>
  <si>
    <t>Calendar Year</t>
  </si>
  <si>
    <t>State Fiscal Year</t>
  </si>
  <si>
    <t>State Data Inputs</t>
  </si>
  <si>
    <t>SUD IMD Hypothetical Services CNOM MEG</t>
  </si>
  <si>
    <t>SUD IMD Non-Hypothetical Services CNOM MEG</t>
  </si>
  <si>
    <t>Projected SUD IMD Member Months/Caseloads</t>
  </si>
  <si>
    <t>Alternate SUD IMD MEG PMPM Development &amp; CNOMs</t>
  </si>
  <si>
    <t>Estimated Total Expenditures for SUD  Medical Assistance Provided in an IMD</t>
  </si>
  <si>
    <t>SUD IMD Supplemental BN Tests</t>
  </si>
  <si>
    <t>IMD Cost Limit</t>
  </si>
  <si>
    <t>SUD IMD Hypothetical CNOM Services Limit</t>
  </si>
  <si>
    <t>SUD IMD Non-Hypothetical Services Limit</t>
  </si>
  <si>
    <t>Service 10</t>
  </si>
  <si>
    <t>Service 11</t>
  </si>
  <si>
    <t>Service 12</t>
  </si>
  <si>
    <t>Service 5</t>
  </si>
  <si>
    <t>Service 6</t>
  </si>
  <si>
    <t>Estimated Total Expenditures for All Other non-SUD/IMD Title XIX State Plan Medical Assistance</t>
  </si>
  <si>
    <t>Non-SUD/IMD Title XIX PMPM:</t>
  </si>
  <si>
    <t>Trend Rate</t>
  </si>
  <si>
    <t>Included</t>
  </si>
  <si>
    <t>Choose "Included" from Drop-Down(s) to Link Services with MEG(s)</t>
  </si>
  <si>
    <t>CURRENT State Plan Service(s)</t>
  </si>
  <si>
    <t>NOT CURRENT State Plan Svc(s)</t>
  </si>
  <si>
    <t>SUD IMD Services</t>
  </si>
  <si>
    <t>How To Use This Spreadsheet:</t>
  </si>
  <si>
    <r>
      <t>Situation:</t>
    </r>
    <r>
      <rPr>
        <sz val="10"/>
        <color theme="1"/>
        <rFont val="Calibri Light"/>
        <family val="2"/>
        <scheme val="major"/>
      </rPr>
      <t xml:space="preserve"> Demonstration CNOM is limited to expenditures for otherwise covered services furnished to otherwise eligible individuals who are primarily receiving treatment and withdrawal management services for SUD who are residents in facilities that meet the definition of an IMD (i.e., IMD exclusion related MA).  </t>
    </r>
  </si>
  <si>
    <r>
      <t>Situation:</t>
    </r>
    <r>
      <rPr>
        <sz val="10"/>
        <color theme="1"/>
        <rFont val="Calibri Light"/>
        <family val="2"/>
        <scheme val="major"/>
      </rPr>
      <t xml:space="preserve"> Demonstration CNOM include both CNOM for IMD exclusion related MA to </t>
    </r>
    <r>
      <rPr>
        <i/>
        <sz val="10"/>
        <color theme="1"/>
        <rFont val="Calibri Light"/>
        <family val="2"/>
        <scheme val="major"/>
      </rPr>
      <t>and</t>
    </r>
    <r>
      <rPr>
        <sz val="10"/>
        <color theme="1"/>
        <rFont val="Calibri Light"/>
        <family val="2"/>
        <scheme val="major"/>
      </rPr>
      <t xml:space="preserve"> CNOM for additional hypothetical services that can be provided outside the IMD. </t>
    </r>
  </si>
  <si>
    <t xml:space="preserve">2.      The IMD Cost Limit and SUD Hypothetical CNOM Services Limit are intended to be two distinct budget neutrality tests separately and independently enforced.  </t>
  </si>
  <si>
    <t>IMD Cost Limit member month must be non-duplicative of SUD Hypothetical CNOM Services Limit member months, and must also be non-duplicative of general comprehensive demonstration budget neutrality limit member months.  This means that month of Medicaid eligibility for an individual cannot appear as both an IMD Cost Limit member month and a SUD Hypothetical CNOM Services Limit member month; it has to be one or the other, and likewise for IMD Cost Limit member month and general comprehensive demonstration budget neutrality limit member months.  SUD Hypothetical CNOM Services Limit member months can be duplicative of general comprehensive demonstration budget neutrality limit member months.</t>
  </si>
  <si>
    <t>Consult the tables below for a high level overview of the IMD Cost Limit and SUD Hypothetical CNOM Services Limit in Scenario 1 and Scenario 2.  The tables provide basic concepts for establishment of the budget neutrality limits, and reporting requirements for monitoring.  The notes below the table provide additional information related to allowable SUD IMD medical assistance services, estimation of the various budget neutrality limits, trend rates and other details of estimation. (see glossary below table for definition of abbreviations)</t>
  </si>
  <si>
    <t>Hypo = hypothetical, i.e., optional services that could be included in the state plan but are instead being authorized in the 1115 using CNOM</t>
  </si>
  <si>
    <t xml:space="preserve">·         States should present 5 years of historical data on overall MA costs for individuals with a SUD diagnosis (or proxy) who received inpatient treatment for SUD (or could have received inpatient treatment if such services were available), to determine average MA cost per user of SUD inpatient services for each historical year.  The per user per month costs are then projected forward using the lower of historical per user month cost trend or the President’s Budget PMPM cost trend.  The projected per user per month costs will become the PMPMs for the IMD Cost Limit.  </t>
  </si>
  <si>
    <t>·         If the state has an existing comprehensive Medicaid demonstration with already calculated without waiver PMPMs, the state should incorporate those PMPMs in the IMD Cost Limit PMPMs (see Historical tab).</t>
  </si>
  <si>
    <t>PMPM trends should be the lower of the state’s historical trend and the smoothed trend from the 2018 President’s Budget (in the absence of historical data, CMS will apply the President's Budget trend). The President’s Budget trends should be for the eligibility groups that are participating in the SUD demonstration. Most often, these will be the Current Adults, New Adults, or a blend of Current Adults and New Adults.</t>
  </si>
  <si>
    <t>States must add their data to the yellow highlighted cells for CMS review and discussion - and choose the appropriate drop-downs corresponding to their data inputs. CMS will provide template instructions with this spreadsheet.</t>
  </si>
  <si>
    <t>RATE</t>
  </si>
  <si>
    <t>Supplemental Methodology Document</t>
  </si>
  <si>
    <r>
      <t xml:space="preserve">               3.      SUD IMD Services may include all approved services provided to Medicaid beneficiaries while residing in an IMD; however, </t>
    </r>
    <r>
      <rPr>
        <i/>
        <sz val="10"/>
        <color theme="1"/>
        <rFont val="Calibri Light"/>
        <family val="2"/>
        <scheme val="major"/>
      </rPr>
      <t xml:space="preserve">they may not include costs associated with room and board payments </t>
    </r>
    <r>
      <rPr>
        <sz val="10"/>
        <color theme="1"/>
        <rFont val="Calibri Light"/>
        <family val="2"/>
        <scheme val="major"/>
      </rPr>
      <t xml:space="preserve">in those facilities unless they qualify as inpatient facilities under section 1905(a) of the Social Security Act. </t>
    </r>
  </si>
  <si>
    <t>·         State may use Alternate PMPM Development in Historical tab for estimating expenditures to be included in the PMPM(s)/IMD Cost Limit (see 'Supplemental Methodology Document' requirement below).</t>
  </si>
  <si>
    <r>
      <t xml:space="preserve">There should be one set of MEGs for the current Medicaid state plan IMD Cost Limit(s) with associated PMPMs and member months, and one for the SUD Hypothetical CNOM Services Limit (and </t>
    </r>
    <r>
      <rPr>
        <i/>
        <sz val="10"/>
        <color theme="1"/>
        <rFont val="Calibri Light"/>
        <family val="2"/>
        <scheme val="major"/>
      </rPr>
      <t>non</t>
    </r>
    <r>
      <rPr>
        <sz val="10"/>
        <color theme="1"/>
        <rFont val="Calibri Light"/>
        <family val="2"/>
        <scheme val="major"/>
      </rPr>
      <t>-Hypothetical CNOM), as applicable.</t>
    </r>
  </si>
  <si>
    <t>·         The 'Historical Spending Data' and/or 'Alternate PMPM Development' in the SUD Historical tab must be accompanied by a supplemental methodology and data sources document that fully describes, for each MEG, a full breakout of all SUD services - with descriptions of accompanying expenditures and caseloads. There should also be sections/headings in the methodology document which describe all other state data inputs (see 'State Data Inputs' below).</t>
  </si>
  <si>
    <t>Estimated Eligible Member Months for All Medical Assistance Provided in an IMD</t>
  </si>
  <si>
    <t>SUD MEG(s)</t>
  </si>
  <si>
    <t>PB Trend:</t>
  </si>
  <si>
    <t>Add Trend Rates &amp; PMPMs from Table Below to 'SUD IMD Supplemental Budget Neutrality Test(s)' STC</t>
  </si>
  <si>
    <t>Expansion Adults all inclusive per diem</t>
  </si>
  <si>
    <t>Adolescents all inclusive per diem</t>
  </si>
  <si>
    <t>Medicaid Adults all inclusive per diem</t>
  </si>
  <si>
    <t>Medicaid Adults</t>
  </si>
  <si>
    <t>Expansion Adults</t>
  </si>
  <si>
    <t>Adolescents</t>
  </si>
  <si>
    <t>SFY19</t>
  </si>
  <si>
    <t>SFY20</t>
  </si>
  <si>
    <t>SFY21</t>
  </si>
  <si>
    <t>SFY22</t>
  </si>
  <si>
    <t>SFY23</t>
  </si>
  <si>
    <t>DY01</t>
  </si>
  <si>
    <t>DY02</t>
  </si>
  <si>
    <t>Non-Qualified Nursing Facility Population</t>
  </si>
  <si>
    <t>PMPM Dental Cost</t>
  </si>
  <si>
    <t>Non-Qualified Waiver Nursing Facility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</si>
</sst>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0.0%"/>
    <numFmt numFmtId="168" formatCode="_(* #,##0_);_(* \(#,##0\);_(* &quot;-&quot;??_);_(@_)"/>
  </numFmts>
  <fonts count="20" x14ac:knownFonts="1">
    <font>
      <sz val="11"/>
      <color theme="1"/>
      <name val="Calibri"/>
      <family val="2"/>
      <scheme val="minor"/>
    </font>
    <font>
      <sz val="11"/>
      <color theme="1"/>
      <name val="Calibri"/>
      <family val="2"/>
      <scheme val="minor"/>
    </font>
    <font>
      <sz val="11"/>
      <color rgb="FF006100"/>
      <name val="Calibri"/>
      <family val="2"/>
      <scheme val="minor"/>
    </font>
    <font>
      <b/>
      <sz val="10"/>
      <name val="Calibri Light"/>
      <family val="2"/>
    </font>
    <font>
      <b/>
      <u/>
      <sz val="10"/>
      <name val="Calibri Light"/>
      <family val="2"/>
    </font>
    <font>
      <sz val="10"/>
      <name val="Calibri Light"/>
      <family val="2"/>
    </font>
    <font>
      <sz val="10"/>
      <name val="Arial"/>
      <family val="2"/>
    </font>
    <font>
      <b/>
      <sz val="10"/>
      <name val="Calibri Light"/>
      <family val="2"/>
      <scheme val="major"/>
    </font>
    <font>
      <sz val="10"/>
      <name val="Calibri Light"/>
      <family val="2"/>
      <scheme val="major"/>
    </font>
    <font>
      <b/>
      <u/>
      <sz val="10"/>
      <name val="Calibri Light"/>
      <family val="2"/>
      <scheme val="major"/>
    </font>
    <font>
      <sz val="10"/>
      <color theme="1"/>
      <name val="Calibri Light"/>
      <family val="2"/>
      <scheme val="major"/>
    </font>
    <font>
      <b/>
      <sz val="10"/>
      <color theme="1"/>
      <name val="Calibri Light"/>
      <family val="2"/>
      <scheme val="major"/>
    </font>
    <font>
      <sz val="10"/>
      <color theme="1"/>
      <name val="Calibri Light"/>
      <family val="2"/>
    </font>
    <font>
      <u/>
      <sz val="10"/>
      <color theme="1"/>
      <name val="Calibri Light"/>
      <family val="2"/>
      <scheme val="major"/>
    </font>
    <font>
      <i/>
      <sz val="10"/>
      <color theme="1"/>
      <name val="Calibri Light"/>
      <family val="2"/>
      <scheme val="major"/>
    </font>
    <font>
      <sz val="10"/>
      <color theme="0"/>
      <name val="Calibri Light"/>
      <family val="2"/>
      <scheme val="major"/>
    </font>
    <font>
      <sz val="11"/>
      <color rgb="FF000000"/>
      <name val="Calibri"/>
      <family val="2"/>
    </font>
    <font>
      <b/>
      <u/>
      <sz val="10"/>
      <color theme="1"/>
      <name val="Calibri Light"/>
      <family val="2"/>
      <scheme val="major"/>
    </font>
    <font>
      <sz val="10"/>
      <color rgb="FFFF0000"/>
      <name val="Calibri Light"/>
      <family val="2"/>
      <scheme val="major"/>
    </font>
    <font>
      <sz val="10"/>
      <color rgb="FF0000FF"/>
      <name val="Calibri Light"/>
      <family val="2"/>
      <scheme val="maj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s>
  <borders count="7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rgb="FFB2B2B2"/>
      </left>
      <right/>
      <top style="thin">
        <color rgb="FFB2B2B2"/>
      </top>
      <bottom style="thin">
        <color rgb="FFB2B2B2"/>
      </bottom>
      <diagonal/>
    </border>
    <border>
      <left/>
      <right style="thin">
        <color indexed="64"/>
      </right>
      <top style="medium">
        <color indexed="64"/>
      </top>
      <bottom/>
      <diagonal/>
    </border>
    <border>
      <left/>
      <right style="thin">
        <color rgb="FFB2B2B2"/>
      </right>
      <top style="thin">
        <color rgb="FFB2B2B2"/>
      </top>
      <bottom style="thin">
        <color rgb="FFB2B2B2"/>
      </bottom>
      <diagonal/>
    </border>
    <border>
      <left/>
      <right style="medium">
        <color indexed="64"/>
      </right>
      <top style="thin">
        <color indexed="64"/>
      </top>
      <bottom style="medium">
        <color indexed="64"/>
      </bottom>
      <diagonal/>
    </border>
    <border>
      <left style="medium">
        <color indexed="64"/>
      </left>
      <right style="medium">
        <color indexed="64"/>
      </right>
      <top style="thin">
        <color rgb="FFB2B2B2"/>
      </top>
      <bottom style="thin">
        <color rgb="FFB2B2B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3" borderId="1" applyNumberFormat="0" applyFont="0" applyAlignment="0" applyProtection="0"/>
    <xf numFmtId="0" fontId="6" fillId="0" borderId="0"/>
    <xf numFmtId="0" fontId="12" fillId="0" borderId="0"/>
    <xf numFmtId="0" fontId="16" fillId="0" borderId="0" applyNumberFormat="0" applyBorder="0" applyAlignment="0"/>
  </cellStyleXfs>
  <cellXfs count="408">
    <xf numFmtId="0" fontId="0" fillId="0" borderId="0" xfId="0"/>
    <xf numFmtId="0" fontId="5" fillId="0" borderId="0" xfId="0" applyFont="1"/>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0" xfId="0" applyFont="1"/>
    <xf numFmtId="0" fontId="8" fillId="0" borderId="0" xfId="0" applyFont="1" applyAlignment="1">
      <alignment horizontal="center" vertical="center"/>
    </xf>
    <xf numFmtId="0" fontId="9" fillId="0" borderId="0" xfId="0" applyFont="1"/>
    <xf numFmtId="0" fontId="8" fillId="0" borderId="2" xfId="0" applyFont="1" applyBorder="1"/>
    <xf numFmtId="0" fontId="7" fillId="0" borderId="3" xfId="0" applyFont="1" applyBorder="1" applyAlignment="1">
      <alignment wrapText="1"/>
    </xf>
    <xf numFmtId="0" fontId="7" fillId="0" borderId="4" xfId="0" applyFont="1" applyBorder="1"/>
    <xf numFmtId="0" fontId="10" fillId="0" borderId="0" xfId="0" applyFont="1"/>
    <xf numFmtId="0" fontId="11" fillId="0" borderId="0" xfId="0" applyFont="1"/>
    <xf numFmtId="166" fontId="8" fillId="0" borderId="10" xfId="2" applyNumberFormat="1" applyFont="1" applyFill="1" applyBorder="1" applyAlignment="1">
      <alignment horizontal="center" vertical="center"/>
    </xf>
    <xf numFmtId="0" fontId="8" fillId="0" borderId="19" xfId="6" applyFont="1" applyBorder="1" applyAlignment="1">
      <alignment horizontal="left"/>
    </xf>
    <xf numFmtId="0" fontId="8" fillId="0" borderId="44" xfId="6" applyFont="1" applyBorder="1" applyAlignment="1">
      <alignment horizontal="left"/>
    </xf>
    <xf numFmtId="0" fontId="8" fillId="0" borderId="39" xfId="6" applyFont="1" applyBorder="1" applyAlignment="1">
      <alignment wrapText="1"/>
    </xf>
    <xf numFmtId="0" fontId="8" fillId="0" borderId="23" xfId="6" applyFont="1" applyBorder="1" applyAlignment="1">
      <alignment wrapText="1"/>
    </xf>
    <xf numFmtId="0" fontId="7" fillId="0" borderId="16" xfId="6" applyFont="1" applyBorder="1" applyAlignment="1">
      <alignment horizontal="center" vertical="center"/>
    </xf>
    <xf numFmtId="0" fontId="8" fillId="0" borderId="0" xfId="0" applyFont="1"/>
    <xf numFmtId="0" fontId="7" fillId="0" borderId="2" xfId="0" applyFont="1" applyBorder="1"/>
    <xf numFmtId="0" fontId="7" fillId="0" borderId="5" xfId="0" applyFont="1" applyBorder="1"/>
    <xf numFmtId="0" fontId="7" fillId="0" borderId="6" xfId="0" applyFont="1" applyBorder="1"/>
    <xf numFmtId="0" fontId="11" fillId="0" borderId="0" xfId="7" applyFont="1" applyAlignment="1">
      <alignment horizontal="left"/>
    </xf>
    <xf numFmtId="0" fontId="10" fillId="0" borderId="0" xfId="7" applyFont="1" applyAlignment="1">
      <alignment horizontal="left"/>
    </xf>
    <xf numFmtId="0" fontId="10" fillId="0" borderId="0" xfId="0" applyFont="1" applyAlignment="1">
      <alignment horizontal="center"/>
    </xf>
    <xf numFmtId="0" fontId="10" fillId="0" borderId="0" xfId="0" applyFont="1" applyAlignment="1">
      <alignment horizontal="left"/>
    </xf>
    <xf numFmtId="0" fontId="7" fillId="0" borderId="0" xfId="6" applyFont="1"/>
    <xf numFmtId="0" fontId="3" fillId="0" borderId="5" xfId="0" applyFont="1" applyBorder="1" applyAlignment="1">
      <alignment wrapText="1"/>
    </xf>
    <xf numFmtId="38" fontId="4" fillId="0" borderId="0" xfId="0" applyNumberFormat="1" applyFont="1" applyAlignment="1">
      <alignment horizontal="left"/>
    </xf>
    <xf numFmtId="0" fontId="7" fillId="0" borderId="0" xfId="0" applyFont="1" applyAlignment="1">
      <alignment horizontal="center" vertical="center"/>
    </xf>
    <xf numFmtId="0" fontId="7" fillId="0" borderId="6" xfId="0" applyFont="1" applyBorder="1" applyAlignment="1">
      <alignment horizontal="center" vertical="center"/>
    </xf>
    <xf numFmtId="166" fontId="8" fillId="0" borderId="11" xfId="2" applyNumberFormat="1" applyFont="1" applyFill="1" applyBorder="1" applyAlignment="1">
      <alignment horizontal="center" vertical="center"/>
    </xf>
    <xf numFmtId="166" fontId="8" fillId="0" borderId="0" xfId="2" applyNumberFormat="1" applyFont="1" applyFill="1" applyBorder="1" applyAlignment="1">
      <alignment horizontal="center" vertical="center"/>
    </xf>
    <xf numFmtId="0" fontId="10" fillId="0" borderId="0" xfId="0" applyFont="1" applyAlignment="1">
      <alignment horizontal="center" vertical="center"/>
    </xf>
    <xf numFmtId="0" fontId="3" fillId="0" borderId="6" xfId="0" applyFont="1" applyBorder="1" applyAlignment="1">
      <alignment horizontal="center" vertical="center"/>
    </xf>
    <xf numFmtId="10" fontId="3" fillId="0" borderId="13" xfId="0" applyNumberFormat="1" applyFont="1" applyBorder="1" applyAlignment="1">
      <alignment horizontal="center" vertical="center"/>
    </xf>
    <xf numFmtId="0" fontId="3" fillId="0" borderId="8" xfId="0" applyFont="1" applyBorder="1" applyAlignment="1">
      <alignment horizontal="center" vertical="center" wrapText="1"/>
    </xf>
    <xf numFmtId="0" fontId="5" fillId="0" borderId="0" xfId="0" applyFont="1" applyAlignment="1">
      <alignment horizontal="center" vertical="center"/>
    </xf>
    <xf numFmtId="10" fontId="5" fillId="0" borderId="0" xfId="0" applyNumberFormat="1" applyFont="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wrapText="1"/>
    </xf>
    <xf numFmtId="0" fontId="7" fillId="0" borderId="14" xfId="0" applyFont="1" applyBorder="1" applyAlignment="1">
      <alignment horizontal="center" vertical="center"/>
    </xf>
    <xf numFmtId="0" fontId="7" fillId="0" borderId="6" xfId="0" applyFont="1" applyBorder="1" applyAlignment="1">
      <alignment horizontal="center" vertical="center" wrapText="1"/>
    </xf>
    <xf numFmtId="0" fontId="8" fillId="0" borderId="0" xfId="6" applyFont="1" applyAlignment="1">
      <alignment horizontal="center" vertical="center"/>
    </xf>
    <xf numFmtId="0" fontId="7" fillId="0" borderId="43" xfId="4" applyFont="1" applyFill="1" applyBorder="1" applyAlignment="1">
      <alignment horizontal="center" vertical="center"/>
    </xf>
    <xf numFmtId="0" fontId="7" fillId="0" borderId="51" xfId="4" applyFont="1" applyFill="1" applyBorder="1" applyAlignment="1">
      <alignment horizontal="center" vertical="center"/>
    </xf>
    <xf numFmtId="10" fontId="8" fillId="0" borderId="20" xfId="4" applyNumberFormat="1" applyFont="1" applyFill="1" applyBorder="1" applyAlignment="1">
      <alignment horizontal="center" vertical="center"/>
    </xf>
    <xf numFmtId="10" fontId="8" fillId="0" borderId="21" xfId="4" applyNumberFormat="1" applyFont="1" applyFill="1" applyBorder="1" applyAlignment="1">
      <alignment horizontal="center" vertical="center"/>
    </xf>
    <xf numFmtId="10" fontId="8" fillId="0" borderId="22" xfId="3" quotePrefix="1" applyNumberFormat="1" applyFont="1" applyFill="1" applyBorder="1" applyAlignment="1">
      <alignment horizontal="center" vertical="center"/>
    </xf>
    <xf numFmtId="10" fontId="8" fillId="0" borderId="26" xfId="4" applyNumberFormat="1" applyFont="1" applyFill="1" applyBorder="1" applyAlignment="1">
      <alignment horizontal="center" vertical="center"/>
    </xf>
    <xf numFmtId="10" fontId="8" fillId="0" borderId="27" xfId="4" applyNumberFormat="1" applyFont="1" applyFill="1" applyBorder="1" applyAlignment="1">
      <alignment horizontal="center" vertical="center"/>
    </xf>
    <xf numFmtId="10" fontId="8" fillId="0" borderId="28" xfId="4" quotePrefix="1" applyNumberFormat="1" applyFont="1" applyFill="1" applyBorder="1" applyAlignment="1">
      <alignment horizontal="center" vertical="center"/>
    </xf>
    <xf numFmtId="0" fontId="11" fillId="0" borderId="0" xfId="0" applyFont="1" applyAlignment="1">
      <alignment horizontal="center" vertical="center"/>
    </xf>
    <xf numFmtId="6" fontId="8" fillId="3" borderId="35" xfId="5" applyNumberFormat="1" applyFont="1" applyBorder="1" applyAlignment="1">
      <alignment horizontal="center" vertical="center"/>
    </xf>
    <xf numFmtId="6" fontId="8" fillId="3" borderId="17" xfId="5" applyNumberFormat="1" applyFont="1" applyBorder="1" applyAlignment="1">
      <alignment horizontal="center" vertical="center"/>
    </xf>
    <xf numFmtId="6" fontId="8" fillId="3" borderId="36" xfId="5" applyNumberFormat="1" applyFont="1" applyBorder="1" applyAlignment="1">
      <alignment horizontal="center" vertical="center"/>
    </xf>
    <xf numFmtId="0" fontId="11" fillId="0" borderId="0" xfId="0" applyFont="1" applyAlignment="1">
      <alignment vertical="center"/>
    </xf>
    <xf numFmtId="0" fontId="13" fillId="0" borderId="16" xfId="0" applyFont="1" applyBorder="1" applyAlignment="1">
      <alignment vertical="center" wrapText="1"/>
    </xf>
    <xf numFmtId="0" fontId="13" fillId="0" borderId="11" xfId="0" applyFont="1" applyBorder="1" applyAlignment="1">
      <alignment vertical="center" wrapText="1"/>
    </xf>
    <xf numFmtId="0" fontId="10" fillId="0" borderId="11" xfId="0" applyFont="1" applyBorder="1" applyAlignment="1">
      <alignment horizontal="left" vertical="center" wrapText="1" indent="5"/>
    </xf>
    <xf numFmtId="0" fontId="10" fillId="0" borderId="12" xfId="0" applyFont="1" applyBorder="1" applyAlignment="1">
      <alignment horizontal="left" vertical="center" wrapText="1" indent="5"/>
    </xf>
    <xf numFmtId="0" fontId="10" fillId="0" borderId="1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left" vertical="center" indent="5"/>
    </xf>
    <xf numFmtId="0" fontId="10" fillId="0" borderId="0" xfId="0" applyFont="1" applyAlignment="1">
      <alignment horizontal="left" vertical="center"/>
    </xf>
    <xf numFmtId="38" fontId="11" fillId="0" borderId="44" xfId="7" applyNumberFormat="1" applyFont="1" applyBorder="1" applyAlignment="1">
      <alignment horizontal="left" wrapText="1"/>
    </xf>
    <xf numFmtId="38" fontId="11" fillId="0" borderId="39" xfId="7" applyNumberFormat="1" applyFont="1" applyBorder="1" applyAlignment="1">
      <alignment horizontal="left" wrapText="1"/>
    </xf>
    <xf numFmtId="38" fontId="11" fillId="0" borderId="45" xfId="7" applyNumberFormat="1" applyFont="1" applyBorder="1" applyAlignment="1">
      <alignment horizontal="left" wrapText="1"/>
    </xf>
    <xf numFmtId="38" fontId="8" fillId="3" borderId="49" xfId="5" applyNumberFormat="1" applyFont="1" applyBorder="1" applyAlignment="1">
      <alignment horizontal="center" vertical="center" wrapText="1"/>
    </xf>
    <xf numFmtId="38" fontId="8" fillId="3" borderId="31" xfId="5" applyNumberFormat="1" applyFont="1" applyBorder="1" applyAlignment="1">
      <alignment horizontal="center" vertical="center" wrapText="1"/>
    </xf>
    <xf numFmtId="38" fontId="8" fillId="3" borderId="53" xfId="5" applyNumberFormat="1" applyFont="1" applyBorder="1" applyAlignment="1">
      <alignment horizontal="center" vertical="center" wrapText="1"/>
    </xf>
    <xf numFmtId="8" fontId="8" fillId="0" borderId="32" xfId="4" applyNumberFormat="1" applyFont="1" applyFill="1" applyBorder="1" applyAlignment="1">
      <alignment horizontal="center" vertical="center" wrapText="1"/>
    </xf>
    <xf numFmtId="8" fontId="8" fillId="0" borderId="33" xfId="4" applyNumberFormat="1" applyFont="1" applyFill="1" applyBorder="1" applyAlignment="1">
      <alignment horizontal="center" vertical="center" wrapText="1"/>
    </xf>
    <xf numFmtId="8" fontId="8" fillId="0" borderId="34" xfId="4" applyNumberFormat="1" applyFont="1" applyFill="1" applyBorder="1" applyAlignment="1">
      <alignment horizontal="center" vertical="center" wrapText="1"/>
    </xf>
    <xf numFmtId="0" fontId="8" fillId="0" borderId="13" xfId="0" applyFont="1" applyBorder="1" applyAlignment="1">
      <alignment horizontal="center" vertical="center"/>
    </xf>
    <xf numFmtId="10" fontId="8" fillId="0" borderId="17" xfId="4" applyNumberFormat="1" applyFont="1" applyFill="1" applyBorder="1" applyAlignment="1">
      <alignment horizontal="center" vertical="center"/>
    </xf>
    <xf numFmtId="10" fontId="8" fillId="0" borderId="18" xfId="4" applyNumberFormat="1" applyFont="1" applyFill="1" applyBorder="1" applyAlignment="1">
      <alignment horizontal="center" vertical="center"/>
    </xf>
    <xf numFmtId="10" fontId="8" fillId="0" borderId="19" xfId="3" quotePrefix="1" applyNumberFormat="1" applyFont="1" applyFill="1" applyBorder="1" applyAlignment="1">
      <alignment horizontal="center" vertical="center"/>
    </xf>
    <xf numFmtId="10" fontId="8" fillId="0" borderId="29" xfId="4" applyNumberFormat="1" applyFont="1" applyFill="1" applyBorder="1" applyAlignment="1">
      <alignment horizontal="center" vertical="center"/>
    </xf>
    <xf numFmtId="10" fontId="8" fillId="0" borderId="30" xfId="4" applyNumberFormat="1" applyFont="1" applyFill="1" applyBorder="1" applyAlignment="1">
      <alignment horizontal="center" vertical="center"/>
    </xf>
    <xf numFmtId="10" fontId="8" fillId="0" borderId="50" xfId="4" applyNumberFormat="1" applyFont="1" applyFill="1" applyBorder="1" applyAlignment="1">
      <alignment horizontal="center" vertical="center"/>
    </xf>
    <xf numFmtId="0" fontId="8" fillId="0" borderId="22" xfId="6" applyFont="1" applyBorder="1" applyAlignment="1">
      <alignment horizontal="left" wrapText="1"/>
    </xf>
    <xf numFmtId="0" fontId="8" fillId="0" borderId="28" xfId="6" applyFont="1" applyBorder="1" applyAlignment="1">
      <alignment horizontal="left" wrapText="1"/>
    </xf>
    <xf numFmtId="0" fontId="7" fillId="0" borderId="16" xfId="6" applyFont="1" applyBorder="1"/>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vertical="center"/>
    </xf>
    <xf numFmtId="0" fontId="7" fillId="0" borderId="3" xfId="0" applyFont="1" applyBorder="1"/>
    <xf numFmtId="0" fontId="9" fillId="0" borderId="3" xfId="0" applyFont="1" applyBorder="1"/>
    <xf numFmtId="0" fontId="7" fillId="0" borderId="11" xfId="0" applyFont="1" applyBorder="1" applyAlignment="1">
      <alignment vertical="center" wrapText="1"/>
    </xf>
    <xf numFmtId="0" fontId="11" fillId="0" borderId="10" xfId="0" applyFont="1" applyBorder="1" applyAlignment="1">
      <alignment horizontal="center" vertical="center" wrapText="1"/>
    </xf>
    <xf numFmtId="0" fontId="11" fillId="0" borderId="47" xfId="7" applyFont="1" applyBorder="1" applyAlignment="1">
      <alignment horizontal="center" vertical="center" wrapText="1"/>
    </xf>
    <xf numFmtId="0" fontId="11" fillId="0" borderId="43" xfId="7" applyFont="1" applyBorder="1" applyAlignment="1">
      <alignment horizontal="center" vertical="center" wrapText="1"/>
    </xf>
    <xf numFmtId="0" fontId="11" fillId="0" borderId="54" xfId="7"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wrapText="1"/>
    </xf>
    <xf numFmtId="166" fontId="10" fillId="0" borderId="0" xfId="0" applyNumberFormat="1" applyFont="1" applyAlignment="1">
      <alignment horizontal="center" vertical="center"/>
    </xf>
    <xf numFmtId="0" fontId="11" fillId="0" borderId="42"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 xfId="0" applyFont="1" applyBorder="1"/>
    <xf numFmtId="0" fontId="11" fillId="0" borderId="16" xfId="0" applyFont="1" applyBorder="1" applyAlignment="1">
      <alignment horizontal="center" vertical="center" wrapText="1"/>
    </xf>
    <xf numFmtId="165" fontId="10" fillId="0" borderId="0" xfId="2" applyNumberFormat="1" applyFont="1" applyFill="1" applyAlignment="1">
      <alignment horizontal="center" vertical="center"/>
    </xf>
    <xf numFmtId="1" fontId="10" fillId="3" borderId="35" xfId="5" applyNumberFormat="1" applyFont="1" applyBorder="1" applyAlignment="1">
      <alignment horizontal="center" vertical="center"/>
    </xf>
    <xf numFmtId="1" fontId="10" fillId="3" borderId="37" xfId="5" applyNumberFormat="1" applyFont="1" applyBorder="1" applyAlignment="1">
      <alignment horizontal="center" vertical="center"/>
    </xf>
    <xf numFmtId="1" fontId="10" fillId="3" borderId="40" xfId="5" applyNumberFormat="1" applyFont="1" applyBorder="1" applyAlignment="1">
      <alignment horizontal="center" vertical="center"/>
    </xf>
    <xf numFmtId="165" fontId="11" fillId="0" borderId="32" xfId="0" applyNumberFormat="1" applyFont="1" applyBorder="1" applyAlignment="1">
      <alignment horizontal="center" vertical="center"/>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0" fontId="7" fillId="0" borderId="0" xfId="4" applyFont="1" applyFill="1" applyBorder="1" applyAlignment="1">
      <alignment horizontal="center" vertical="center"/>
    </xf>
    <xf numFmtId="0" fontId="7" fillId="0" borderId="0" xfId="6" applyFont="1" applyAlignment="1">
      <alignment horizontal="left" vertical="center"/>
    </xf>
    <xf numFmtId="0" fontId="15" fillId="0" borderId="0" xfId="0" applyFont="1"/>
    <xf numFmtId="0" fontId="3" fillId="0" borderId="0" xfId="0" applyFont="1" applyAlignment="1">
      <alignment wrapText="1"/>
    </xf>
    <xf numFmtId="0" fontId="3" fillId="0" borderId="0" xfId="0" applyFont="1" applyAlignment="1">
      <alignment horizontal="center" vertical="center" wrapText="1"/>
    </xf>
    <xf numFmtId="166" fontId="8" fillId="0" borderId="20" xfId="2" applyNumberFormat="1" applyFont="1" applyFill="1" applyBorder="1" applyAlignment="1">
      <alignment horizontal="center" vertical="center"/>
    </xf>
    <xf numFmtId="0" fontId="11" fillId="0" borderId="6" xfId="0" applyFont="1" applyBorder="1"/>
    <xf numFmtId="166" fontId="8" fillId="0" borderId="20" xfId="2" applyNumberFormat="1" applyFont="1" applyFill="1" applyBorder="1" applyAlignment="1" applyProtection="1">
      <alignment horizontal="center" vertical="center"/>
      <protection locked="0"/>
    </xf>
    <xf numFmtId="10" fontId="3" fillId="0" borderId="0" xfId="0" applyNumberFormat="1" applyFont="1" applyAlignment="1">
      <alignment horizontal="center" vertical="center" wrapText="1"/>
    </xf>
    <xf numFmtId="0" fontId="3" fillId="0" borderId="0" xfId="0" applyFont="1" applyAlignment="1">
      <alignment horizontal="center" vertical="center"/>
    </xf>
    <xf numFmtId="166" fontId="8" fillId="0" borderId="26" xfId="0" applyNumberFormat="1" applyFont="1" applyBorder="1" applyAlignment="1">
      <alignment horizontal="center" vertical="center"/>
    </xf>
    <xf numFmtId="166" fontId="8" fillId="0" borderId="26" xfId="2" applyNumberFormat="1" applyFont="1" applyBorder="1" applyAlignment="1">
      <alignment horizontal="center" vertical="center"/>
    </xf>
    <xf numFmtId="166" fontId="5" fillId="0" borderId="26" xfId="1" applyNumberFormat="1" applyFont="1" applyFill="1" applyBorder="1" applyAlignment="1">
      <alignment horizontal="center" vertical="center"/>
    </xf>
    <xf numFmtId="166" fontId="8" fillId="0" borderId="21" xfId="2" applyNumberFormat="1" applyFont="1" applyFill="1" applyBorder="1" applyAlignment="1" applyProtection="1">
      <alignment horizontal="center" vertical="center"/>
      <protection locked="0"/>
    </xf>
    <xf numFmtId="166" fontId="8" fillId="0" borderId="27" xfId="0" applyNumberFormat="1" applyFont="1" applyBorder="1" applyAlignment="1">
      <alignment horizontal="center" vertical="center"/>
    </xf>
    <xf numFmtId="166" fontId="8" fillId="0" borderId="27" xfId="2" applyNumberFormat="1" applyFont="1" applyBorder="1" applyAlignment="1">
      <alignment horizontal="center" vertical="center"/>
    </xf>
    <xf numFmtId="166" fontId="8" fillId="0" borderId="30" xfId="2" applyNumberFormat="1" applyFont="1" applyFill="1" applyBorder="1" applyAlignment="1" applyProtection="1">
      <alignment horizontal="center" vertical="center"/>
      <protection locked="0"/>
    </xf>
    <xf numFmtId="166" fontId="8" fillId="0" borderId="50" xfId="0" applyNumberFormat="1" applyFont="1" applyBorder="1" applyAlignment="1">
      <alignment horizontal="center" vertical="center"/>
    </xf>
    <xf numFmtId="166" fontId="8" fillId="0" borderId="50" xfId="2" applyNumberFormat="1" applyFont="1" applyBorder="1" applyAlignment="1">
      <alignment horizontal="center" vertical="center"/>
    </xf>
    <xf numFmtId="0" fontId="8" fillId="0" borderId="19" xfId="0" applyFont="1" applyBorder="1" applyAlignment="1">
      <alignment wrapText="1" shrinkToFit="1"/>
    </xf>
    <xf numFmtId="0" fontId="8" fillId="0" borderId="22" xfId="0" applyFont="1" applyBorder="1" applyAlignment="1">
      <alignment wrapText="1"/>
    </xf>
    <xf numFmtId="0" fontId="8" fillId="0" borderId="28" xfId="0" applyFont="1" applyBorder="1" applyAlignment="1">
      <alignment wrapText="1"/>
    </xf>
    <xf numFmtId="0" fontId="5" fillId="0" borderId="19" xfId="0" applyFont="1" applyBorder="1" applyAlignment="1">
      <alignment wrapText="1"/>
    </xf>
    <xf numFmtId="0" fontId="5" fillId="0" borderId="22" xfId="0" applyFont="1" applyBorder="1" applyAlignment="1">
      <alignment wrapText="1"/>
    </xf>
    <xf numFmtId="0" fontId="5" fillId="0" borderId="28" xfId="0" applyFont="1" applyBorder="1" applyAlignment="1">
      <alignment wrapText="1"/>
    </xf>
    <xf numFmtId="1" fontId="8" fillId="0" borderId="19" xfId="1" applyNumberFormat="1" applyFont="1" applyFill="1" applyBorder="1" applyAlignment="1" applyProtection="1">
      <alignment horizontal="center" vertical="center"/>
      <protection locked="0"/>
    </xf>
    <xf numFmtId="166" fontId="8" fillId="0" borderId="22" xfId="2" applyNumberFormat="1" applyFont="1" applyFill="1" applyBorder="1" applyAlignment="1" applyProtection="1">
      <alignment horizontal="center" vertical="center"/>
      <protection locked="0"/>
    </xf>
    <xf numFmtId="166"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168" fontId="5" fillId="0" borderId="19" xfId="1" applyNumberFormat="1" applyFont="1" applyFill="1" applyBorder="1" applyAlignment="1">
      <alignment horizontal="center" vertical="center"/>
    </xf>
    <xf numFmtId="0" fontId="5" fillId="0" borderId="28" xfId="0" applyFont="1" applyBorder="1" applyAlignment="1">
      <alignment horizontal="center" vertical="center"/>
    </xf>
    <xf numFmtId="164" fontId="8" fillId="0" borderId="19" xfId="2" applyNumberFormat="1" applyFont="1" applyBorder="1" applyAlignment="1">
      <alignment horizontal="center" vertical="center"/>
    </xf>
    <xf numFmtId="166" fontId="7" fillId="0" borderId="22" xfId="2" applyNumberFormat="1" applyFont="1" applyBorder="1" applyAlignment="1">
      <alignment horizontal="center" vertical="center"/>
    </xf>
    <xf numFmtId="164" fontId="5" fillId="0" borderId="19" xfId="2" applyNumberFormat="1" applyFont="1" applyFill="1" applyBorder="1" applyAlignment="1">
      <alignment horizontal="center" vertical="center"/>
    </xf>
    <xf numFmtId="166" fontId="5" fillId="0" borderId="22" xfId="0" applyNumberFormat="1" applyFont="1" applyBorder="1" applyAlignment="1">
      <alignment horizontal="center" vertical="center"/>
    </xf>
    <xf numFmtId="166" fontId="5" fillId="0" borderId="28" xfId="1" applyNumberFormat="1" applyFont="1" applyFill="1" applyBorder="1" applyAlignment="1">
      <alignment horizontal="center" vertical="center"/>
    </xf>
    <xf numFmtId="0" fontId="11" fillId="0" borderId="16" xfId="0" applyFont="1" applyBorder="1"/>
    <xf numFmtId="166" fontId="8" fillId="0" borderId="21" xfId="2" applyNumberFormat="1" applyFont="1" applyFill="1" applyBorder="1" applyAlignment="1">
      <alignment horizontal="center" vertical="center"/>
    </xf>
    <xf numFmtId="166" fontId="8" fillId="0" borderId="30" xfId="2" applyNumberFormat="1" applyFont="1" applyFill="1" applyBorder="1" applyAlignment="1">
      <alignment horizontal="center" vertical="center"/>
    </xf>
    <xf numFmtId="167" fontId="8" fillId="0" borderId="19" xfId="3" applyNumberFormat="1" applyFont="1" applyFill="1" applyBorder="1" applyAlignment="1">
      <alignment horizontal="center" vertical="center"/>
    </xf>
    <xf numFmtId="167" fontId="8" fillId="0" borderId="22" xfId="3" applyNumberFormat="1" applyFont="1" applyFill="1" applyBorder="1" applyAlignment="1">
      <alignment horizontal="center" vertical="center"/>
    </xf>
    <xf numFmtId="10" fontId="8" fillId="0" borderId="28" xfId="0" applyNumberFormat="1" applyFont="1" applyBorder="1" applyAlignment="1">
      <alignment horizontal="center" vertical="center"/>
    </xf>
    <xf numFmtId="0" fontId="8" fillId="0" borderId="19" xfId="0" applyFont="1" applyBorder="1" applyAlignment="1" applyProtection="1">
      <alignment horizontal="center" vertical="center"/>
      <protection locked="0"/>
    </xf>
    <xf numFmtId="166" fontId="8" fillId="0" borderId="28" xfId="2" applyNumberFormat="1" applyFont="1" applyFill="1" applyBorder="1" applyAlignment="1">
      <alignment horizontal="center" vertical="center"/>
    </xf>
    <xf numFmtId="167" fontId="8" fillId="0" borderId="19" xfId="0" applyNumberFormat="1" applyFont="1" applyBorder="1" applyAlignment="1" applyProtection="1">
      <alignment horizontal="center" vertical="center"/>
      <protection locked="0"/>
    </xf>
    <xf numFmtId="167" fontId="8" fillId="0" borderId="22" xfId="0" applyNumberFormat="1" applyFont="1" applyBorder="1" applyAlignment="1" applyProtection="1">
      <alignment horizontal="center" vertical="center"/>
      <protection locked="0"/>
    </xf>
    <xf numFmtId="166" fontId="5" fillId="0" borderId="20" xfId="5" applyNumberFormat="1" applyFont="1" applyFill="1" applyBorder="1" applyAlignment="1">
      <alignment horizontal="center" vertical="center"/>
    </xf>
    <xf numFmtId="0" fontId="8" fillId="0" borderId="22" xfId="4" applyFont="1" applyFill="1" applyBorder="1"/>
    <xf numFmtId="166" fontId="8" fillId="0" borderId="22" xfId="2" applyNumberFormat="1" applyFont="1" applyFill="1" applyBorder="1" applyAlignment="1">
      <alignment horizontal="center" vertical="center"/>
    </xf>
    <xf numFmtId="0" fontId="7" fillId="0" borderId="4" xfId="0" applyFont="1" applyBorder="1" applyAlignment="1">
      <alignment vertical="center" wrapText="1"/>
    </xf>
    <xf numFmtId="166" fontId="8" fillId="0" borderId="33" xfId="2" applyNumberFormat="1" applyFont="1" applyFill="1" applyBorder="1" applyAlignment="1">
      <alignment horizontal="center" vertical="center"/>
    </xf>
    <xf numFmtId="166" fontId="8" fillId="0" borderId="57" xfId="2" applyNumberFormat="1" applyFont="1" applyFill="1" applyBorder="1" applyAlignment="1">
      <alignment horizontal="center" vertical="center"/>
    </xf>
    <xf numFmtId="166" fontId="8" fillId="0" borderId="59" xfId="2" applyNumberFormat="1" applyFont="1" applyFill="1" applyBorder="1" applyAlignment="1">
      <alignment horizontal="center" vertical="center"/>
    </xf>
    <xf numFmtId="166" fontId="8" fillId="0" borderId="56" xfId="2" applyNumberFormat="1" applyFont="1" applyFill="1" applyBorder="1" applyAlignment="1">
      <alignment horizontal="center" vertical="center"/>
    </xf>
    <xf numFmtId="166" fontId="8" fillId="0" borderId="60" xfId="2"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0" fontId="7" fillId="0" borderId="2" xfId="0" applyFont="1" applyBorder="1" applyAlignment="1">
      <alignment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166" fontId="8" fillId="0" borderId="32" xfId="2" applyNumberFormat="1" applyFont="1" applyFill="1" applyBorder="1" applyAlignment="1">
      <alignment horizontal="center" vertical="center"/>
    </xf>
    <xf numFmtId="166" fontId="8" fillId="0" borderId="34" xfId="2" applyNumberFormat="1" applyFont="1" applyFill="1" applyBorder="1" applyAlignment="1">
      <alignment horizontal="center" vertical="center"/>
    </xf>
    <xf numFmtId="167" fontId="5" fillId="0" borderId="44" xfId="3" applyNumberFormat="1" applyFont="1" applyFill="1" applyBorder="1" applyAlignment="1">
      <alignment horizontal="center" vertical="center"/>
    </xf>
    <xf numFmtId="10" fontId="5" fillId="0" borderId="45" xfId="3" applyNumberFormat="1" applyFont="1" applyFill="1" applyBorder="1" applyAlignment="1">
      <alignment horizontal="center" vertical="center"/>
    </xf>
    <xf numFmtId="166" fontId="5" fillId="0" borderId="37" xfId="5" applyNumberFormat="1" applyFont="1" applyFill="1" applyBorder="1" applyAlignment="1">
      <alignment horizontal="center" vertical="center"/>
    </xf>
    <xf numFmtId="166" fontId="5" fillId="0" borderId="40" xfId="1" applyNumberFormat="1" applyFont="1" applyFill="1" applyBorder="1" applyAlignment="1">
      <alignment horizontal="center" vertical="center"/>
    </xf>
    <xf numFmtId="166" fontId="5" fillId="0" borderId="41" xfId="1" applyNumberFormat="1" applyFont="1" applyFill="1" applyBorder="1" applyAlignment="1">
      <alignment horizontal="center" vertical="center"/>
    </xf>
    <xf numFmtId="0" fontId="11" fillId="0" borderId="13" xfId="0" applyFont="1" applyBorder="1"/>
    <xf numFmtId="0" fontId="14" fillId="3" borderId="19" xfId="5" applyFont="1" applyBorder="1"/>
    <xf numFmtId="0" fontId="14" fillId="3" borderId="22" xfId="5" applyFont="1" applyBorder="1"/>
    <xf numFmtId="0" fontId="14" fillId="3" borderId="28" xfId="5" applyFont="1" applyBorder="1"/>
    <xf numFmtId="0" fontId="11" fillId="0" borderId="58" xfId="0" applyFont="1" applyBorder="1" applyAlignment="1">
      <alignment horizontal="center" vertical="center" wrapText="1"/>
    </xf>
    <xf numFmtId="0" fontId="11" fillId="0" borderId="4" xfId="0" applyFont="1" applyBorder="1" applyAlignment="1">
      <alignment vertical="center"/>
    </xf>
    <xf numFmtId="0" fontId="11" fillId="0" borderId="6" xfId="0" applyFont="1" applyBorder="1" applyAlignment="1">
      <alignment horizontal="center"/>
    </xf>
    <xf numFmtId="3" fontId="10" fillId="3" borderId="38" xfId="1" applyNumberFormat="1" applyFont="1" applyFill="1" applyBorder="1" applyAlignment="1">
      <alignment horizontal="center" vertical="center"/>
    </xf>
    <xf numFmtId="3" fontId="10" fillId="3" borderId="41" xfId="1" applyNumberFormat="1" applyFont="1" applyFill="1" applyBorder="1" applyAlignment="1">
      <alignment horizontal="center" vertical="center"/>
    </xf>
    <xf numFmtId="3" fontId="8" fillId="0" borderId="29" xfId="1" applyNumberFormat="1" applyFont="1" applyFill="1" applyBorder="1" applyAlignment="1">
      <alignment horizontal="center" vertical="center"/>
    </xf>
    <xf numFmtId="3" fontId="8" fillId="0" borderId="17"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3" fontId="8" fillId="0" borderId="29" xfId="1" applyNumberFormat="1" applyFont="1" applyFill="1" applyBorder="1" applyAlignment="1" applyProtection="1">
      <alignment horizontal="center" vertical="center"/>
      <protection locked="0"/>
    </xf>
    <xf numFmtId="3" fontId="8" fillId="0" borderId="17" xfId="1" applyNumberFormat="1" applyFont="1" applyFill="1" applyBorder="1" applyAlignment="1" applyProtection="1">
      <alignment horizontal="center" vertical="center"/>
      <protection locked="0"/>
    </xf>
    <xf numFmtId="3" fontId="8" fillId="0" borderId="18" xfId="1" applyNumberFormat="1" applyFont="1" applyFill="1" applyBorder="1" applyAlignment="1" applyProtection="1">
      <alignment horizontal="center" vertical="center"/>
      <protection locked="0"/>
    </xf>
    <xf numFmtId="3" fontId="5" fillId="0" borderId="35" xfId="1" applyNumberFormat="1" applyFont="1" applyFill="1" applyBorder="1" applyAlignment="1">
      <alignment horizontal="center" vertical="center"/>
    </xf>
    <xf numFmtId="3" fontId="5" fillId="0" borderId="17" xfId="1" applyNumberFormat="1" applyFont="1" applyFill="1" applyBorder="1" applyAlignment="1">
      <alignment horizontal="center" vertical="center"/>
    </xf>
    <xf numFmtId="3" fontId="5" fillId="0" borderId="36" xfId="1" applyNumberFormat="1" applyFont="1" applyFill="1" applyBorder="1" applyAlignment="1">
      <alignment horizontal="center" vertical="center"/>
    </xf>
    <xf numFmtId="0" fontId="8" fillId="0" borderId="0" xfId="6" applyFont="1" applyAlignment="1">
      <alignment horizontal="left" wrapText="1"/>
    </xf>
    <xf numFmtId="10" fontId="8" fillId="0" borderId="0" xfId="4" applyNumberFormat="1" applyFont="1" applyFill="1" applyBorder="1" applyAlignment="1">
      <alignment horizontal="center" vertical="center"/>
    </xf>
    <xf numFmtId="10" fontId="8" fillId="0" borderId="0" xfId="4" quotePrefix="1" applyNumberFormat="1" applyFont="1" applyFill="1" applyBorder="1" applyAlignment="1">
      <alignment horizontal="center" vertical="center"/>
    </xf>
    <xf numFmtId="0" fontId="7" fillId="0" borderId="0" xfId="6" applyFont="1" applyAlignment="1">
      <alignment horizontal="center" vertical="center"/>
    </xf>
    <xf numFmtId="0" fontId="8" fillId="0" borderId="0" xfId="0" applyFont="1" applyAlignment="1">
      <alignment wrapText="1"/>
    </xf>
    <xf numFmtId="166" fontId="8" fillId="0" borderId="0" xfId="0" applyNumberFormat="1" applyFont="1" applyAlignment="1">
      <alignment horizontal="center" vertical="center"/>
    </xf>
    <xf numFmtId="0" fontId="8" fillId="0" borderId="23" xfId="0" applyFont="1" applyBorder="1"/>
    <xf numFmtId="0" fontId="8" fillId="0" borderId="39" xfId="0" applyFont="1" applyBorder="1"/>
    <xf numFmtId="166" fontId="8" fillId="0" borderId="35" xfId="2" applyNumberFormat="1" applyFont="1" applyFill="1" applyBorder="1" applyAlignment="1">
      <alignment horizontal="center" vertical="center"/>
    </xf>
    <xf numFmtId="166" fontId="8" fillId="0" borderId="17" xfId="2" applyNumberFormat="1" applyFont="1" applyFill="1" applyBorder="1" applyAlignment="1">
      <alignment horizontal="center" vertical="center"/>
    </xf>
    <xf numFmtId="166" fontId="8" fillId="0" borderId="37" xfId="2" applyNumberFormat="1" applyFont="1" applyFill="1" applyBorder="1" applyAlignment="1">
      <alignment horizontal="center" vertical="center"/>
    </xf>
    <xf numFmtId="166" fontId="8" fillId="0" borderId="18" xfId="2" applyNumberFormat="1" applyFont="1" applyFill="1" applyBorder="1" applyAlignment="1">
      <alignment horizontal="center" vertical="center"/>
    </xf>
    <xf numFmtId="166" fontId="8" fillId="0" borderId="42" xfId="2" applyNumberFormat="1" applyFont="1" applyFill="1" applyBorder="1" applyAlignment="1">
      <alignment horizontal="center" vertical="center"/>
    </xf>
    <xf numFmtId="166" fontId="8" fillId="0" borderId="19" xfId="2" applyNumberFormat="1" applyFont="1" applyFill="1" applyBorder="1" applyAlignment="1">
      <alignment horizontal="center" vertical="center"/>
    </xf>
    <xf numFmtId="6" fontId="5" fillId="0" borderId="22" xfId="2" applyNumberFormat="1" applyFont="1" applyFill="1" applyBorder="1" applyAlignment="1">
      <alignment horizontal="center" vertical="center"/>
    </xf>
    <xf numFmtId="0" fontId="11" fillId="0" borderId="7" xfId="0" applyFont="1" applyBorder="1" applyAlignment="1">
      <alignment horizontal="center" vertical="center" wrapText="1"/>
    </xf>
    <xf numFmtId="166" fontId="10" fillId="0" borderId="5" xfId="0" applyNumberFormat="1" applyFont="1" applyBorder="1" applyAlignment="1">
      <alignment horizontal="center" vertical="center"/>
    </xf>
    <xf numFmtId="0" fontId="11" fillId="0" borderId="4" xfId="0" applyFont="1" applyBorder="1" applyAlignment="1">
      <alignment horizontal="center" vertical="center" wrapText="1"/>
    </xf>
    <xf numFmtId="1" fontId="10" fillId="3" borderId="44" xfId="5" applyNumberFormat="1" applyFont="1" applyBorder="1" applyAlignment="1">
      <alignment horizontal="center" vertical="center"/>
    </xf>
    <xf numFmtId="1" fontId="10" fillId="3" borderId="39" xfId="5" applyNumberFormat="1" applyFont="1" applyBorder="1" applyAlignment="1">
      <alignment horizontal="center" vertical="center"/>
    </xf>
    <xf numFmtId="1" fontId="10" fillId="3" borderId="45" xfId="5" applyNumberFormat="1" applyFont="1" applyBorder="1" applyAlignment="1">
      <alignment horizontal="center" vertical="center"/>
    </xf>
    <xf numFmtId="38" fontId="11" fillId="0" borderId="16" xfId="0" applyNumberFormat="1" applyFont="1" applyBorder="1" applyAlignment="1">
      <alignment horizontal="center" vertical="center" wrapText="1"/>
    </xf>
    <xf numFmtId="0" fontId="11" fillId="0" borderId="15" xfId="0" applyFont="1" applyBorder="1"/>
    <xf numFmtId="1" fontId="10" fillId="3" borderId="19" xfId="5" applyNumberFormat="1" applyFont="1" applyBorder="1" applyAlignment="1">
      <alignment horizontal="center" vertical="center"/>
    </xf>
    <xf numFmtId="1" fontId="10" fillId="3" borderId="22" xfId="5" applyNumberFormat="1" applyFont="1" applyBorder="1" applyAlignment="1">
      <alignment horizontal="center" vertical="center"/>
    </xf>
    <xf numFmtId="1" fontId="10" fillId="3" borderId="28" xfId="5" applyNumberFormat="1" applyFont="1" applyBorder="1" applyAlignment="1">
      <alignment horizontal="center" vertical="center"/>
    </xf>
    <xf numFmtId="166" fontId="10" fillId="0" borderId="14" xfId="0" applyNumberFormat="1" applyFont="1" applyBorder="1" applyAlignment="1">
      <alignment horizontal="center" vertical="center"/>
    </xf>
    <xf numFmtId="165" fontId="11" fillId="0" borderId="16" xfId="0" applyNumberFormat="1" applyFont="1" applyBorder="1" applyAlignment="1">
      <alignment horizontal="center" vertical="center"/>
    </xf>
    <xf numFmtId="1" fontId="8" fillId="0" borderId="44" xfId="1" applyNumberFormat="1" applyFont="1" applyFill="1" applyBorder="1" applyAlignment="1" applyProtection="1">
      <alignment horizontal="center" vertical="center"/>
      <protection locked="0"/>
    </xf>
    <xf numFmtId="166" fontId="8" fillId="0" borderId="45" xfId="0" applyNumberFormat="1" applyFont="1" applyBorder="1" applyAlignment="1">
      <alignment horizontal="center" vertical="center"/>
    </xf>
    <xf numFmtId="3" fontId="8" fillId="0" borderId="20" xfId="1" applyNumberFormat="1" applyFont="1" applyFill="1" applyBorder="1" applyAlignment="1" applyProtection="1">
      <alignment horizontal="center" vertical="center"/>
      <protection locked="0"/>
    </xf>
    <xf numFmtId="3" fontId="8" fillId="0" borderId="35" xfId="1" applyNumberFormat="1" applyFont="1" applyFill="1" applyBorder="1" applyAlignment="1" applyProtection="1">
      <alignment horizontal="center" vertical="center"/>
      <protection locked="0"/>
    </xf>
    <xf numFmtId="3" fontId="8" fillId="0" borderId="37" xfId="1" applyNumberFormat="1" applyFont="1" applyFill="1" applyBorder="1" applyAlignment="1" applyProtection="1">
      <alignment horizontal="center" vertical="center"/>
      <protection locked="0"/>
    </xf>
    <xf numFmtId="3" fontId="8" fillId="0" borderId="40" xfId="1" applyNumberFormat="1" applyFont="1" applyFill="1" applyBorder="1" applyAlignment="1" applyProtection="1">
      <alignment horizontal="center" vertical="center"/>
      <protection locked="0"/>
    </xf>
    <xf numFmtId="3" fontId="8" fillId="0" borderId="26" xfId="1" applyNumberFormat="1" applyFont="1" applyFill="1" applyBorder="1" applyAlignment="1" applyProtection="1">
      <alignment horizontal="center" vertical="center"/>
      <protection locked="0"/>
    </xf>
    <xf numFmtId="3" fontId="8" fillId="0" borderId="21" xfId="1" applyNumberFormat="1" applyFont="1" applyFill="1" applyBorder="1" applyAlignment="1" applyProtection="1">
      <alignment horizontal="center" vertical="center"/>
      <protection locked="0"/>
    </xf>
    <xf numFmtId="3" fontId="8" fillId="0" borderId="27" xfId="1" applyNumberFormat="1" applyFont="1" applyFill="1" applyBorder="1" applyAlignment="1" applyProtection="1">
      <alignment horizontal="center" vertical="center"/>
      <protection locked="0"/>
    </xf>
    <xf numFmtId="165" fontId="11" fillId="0" borderId="7" xfId="0" applyNumberFormat="1" applyFont="1" applyBorder="1" applyAlignment="1">
      <alignment horizontal="center" vertical="center"/>
    </xf>
    <xf numFmtId="0" fontId="7" fillId="0" borderId="0" xfId="4" applyFont="1" applyFill="1" applyBorder="1" applyAlignment="1">
      <alignment vertical="center"/>
    </xf>
    <xf numFmtId="0" fontId="17" fillId="0" borderId="0" xfId="0" applyFont="1"/>
    <xf numFmtId="166" fontId="8" fillId="0" borderId="16" xfId="2" applyNumberFormat="1" applyFont="1" applyFill="1" applyBorder="1" applyAlignment="1">
      <alignment horizontal="center" vertical="center"/>
    </xf>
    <xf numFmtId="38" fontId="17" fillId="0" borderId="0" xfId="0" applyNumberFormat="1" applyFont="1"/>
    <xf numFmtId="0" fontId="11" fillId="0" borderId="33" xfId="0" applyFont="1" applyBorder="1" applyAlignment="1">
      <alignment horizontal="center" vertical="center"/>
    </xf>
    <xf numFmtId="0" fontId="11" fillId="0" borderId="58" xfId="0" applyFont="1" applyBorder="1" applyAlignment="1">
      <alignment horizontal="center" vertical="center"/>
    </xf>
    <xf numFmtId="38" fontId="17" fillId="0" borderId="13" xfId="0" applyNumberFormat="1" applyFont="1" applyBorder="1"/>
    <xf numFmtId="166" fontId="11" fillId="0" borderId="16" xfId="2" applyNumberFormat="1" applyFont="1" applyBorder="1" applyAlignment="1">
      <alignment horizontal="center" vertical="center"/>
    </xf>
    <xf numFmtId="0" fontId="11" fillId="0" borderId="42" xfId="0" applyFont="1" applyBorder="1" applyAlignment="1">
      <alignment horizontal="center" vertical="center"/>
    </xf>
    <xf numFmtId="38" fontId="17" fillId="0" borderId="15" xfId="0" applyNumberFormat="1" applyFont="1" applyBorder="1"/>
    <xf numFmtId="166" fontId="10" fillId="0" borderId="62" xfId="2" applyNumberFormat="1" applyFont="1" applyBorder="1" applyAlignment="1">
      <alignment horizontal="center" vertical="center"/>
    </xf>
    <xf numFmtId="166" fontId="10" fillId="0" borderId="43" xfId="2" applyNumberFormat="1" applyFont="1" applyBorder="1" applyAlignment="1">
      <alignment horizontal="center" vertical="center"/>
    </xf>
    <xf numFmtId="166" fontId="10" fillId="0" borderId="51" xfId="2" applyNumberFormat="1" applyFont="1" applyBorder="1" applyAlignment="1">
      <alignment horizontal="center" vertical="center"/>
    </xf>
    <xf numFmtId="166" fontId="10" fillId="0" borderId="7" xfId="0" applyNumberFormat="1" applyFont="1" applyBorder="1" applyAlignment="1">
      <alignment horizontal="center"/>
    </xf>
    <xf numFmtId="38" fontId="10" fillId="0" borderId="15" xfId="0" applyNumberFormat="1" applyFont="1" applyBorder="1"/>
    <xf numFmtId="166" fontId="10" fillId="0" borderId="15" xfId="0" applyNumberFormat="1" applyFont="1" applyBorder="1" applyAlignment="1">
      <alignment horizontal="center" vertical="center"/>
    </xf>
    <xf numFmtId="3" fontId="10" fillId="3" borderId="53" xfId="1" applyNumberFormat="1" applyFont="1" applyFill="1" applyBorder="1" applyAlignment="1">
      <alignment horizontal="center" vertical="center"/>
    </xf>
    <xf numFmtId="38" fontId="10" fillId="0" borderId="17" xfId="5" applyNumberFormat="1" applyFont="1" applyFill="1" applyBorder="1" applyAlignment="1">
      <alignment horizontal="center" vertical="center"/>
    </xf>
    <xf numFmtId="38" fontId="10" fillId="0" borderId="36" xfId="5" applyNumberFormat="1" applyFont="1" applyFill="1" applyBorder="1" applyAlignment="1">
      <alignment horizontal="center" vertical="center"/>
    </xf>
    <xf numFmtId="38" fontId="10" fillId="0" borderId="20" xfId="5" applyNumberFormat="1" applyFont="1" applyFill="1" applyBorder="1" applyAlignment="1">
      <alignment horizontal="center" vertical="center"/>
    </xf>
    <xf numFmtId="38" fontId="10" fillId="0" borderId="38" xfId="5" applyNumberFormat="1" applyFont="1" applyFill="1" applyBorder="1" applyAlignment="1">
      <alignment horizontal="center" vertical="center"/>
    </xf>
    <xf numFmtId="38" fontId="10" fillId="0" borderId="26" xfId="5" applyNumberFormat="1" applyFont="1" applyFill="1" applyBorder="1" applyAlignment="1">
      <alignment horizontal="center" vertical="center"/>
    </xf>
    <xf numFmtId="38" fontId="10" fillId="0" borderId="41" xfId="5" applyNumberFormat="1" applyFont="1" applyFill="1" applyBorder="1" applyAlignment="1">
      <alignment horizontal="center" vertical="center"/>
    </xf>
    <xf numFmtId="0" fontId="11" fillId="0" borderId="2" xfId="7" applyFont="1" applyBorder="1" applyAlignment="1">
      <alignment horizontal="center" vertical="center" wrapText="1"/>
    </xf>
    <xf numFmtId="38" fontId="10" fillId="0" borderId="37" xfId="5" applyNumberFormat="1" applyFont="1" applyFill="1" applyBorder="1" applyAlignment="1">
      <alignment horizontal="center" vertical="center"/>
    </xf>
    <xf numFmtId="38" fontId="10" fillId="0" borderId="40" xfId="5" applyNumberFormat="1" applyFont="1" applyFill="1" applyBorder="1" applyAlignment="1">
      <alignment horizontal="center" vertical="center"/>
    </xf>
    <xf numFmtId="166" fontId="10" fillId="0" borderId="20" xfId="5" applyNumberFormat="1" applyFont="1" applyFill="1" applyBorder="1" applyAlignment="1">
      <alignment horizontal="center" vertical="center"/>
    </xf>
    <xf numFmtId="166" fontId="10" fillId="0" borderId="17" xfId="5" applyNumberFormat="1" applyFont="1" applyFill="1" applyBorder="1" applyAlignment="1">
      <alignment horizontal="center" vertical="center"/>
    </xf>
    <xf numFmtId="166" fontId="10" fillId="3" borderId="37" xfId="5" applyNumberFormat="1" applyFont="1" applyBorder="1" applyAlignment="1">
      <alignment horizontal="center" vertical="center"/>
    </xf>
    <xf numFmtId="166" fontId="10" fillId="3" borderId="49" xfId="5" applyNumberFormat="1" applyFont="1" applyBorder="1" applyAlignment="1">
      <alignment horizontal="center" vertical="center"/>
    </xf>
    <xf numFmtId="166" fontId="10" fillId="3" borderId="40" xfId="5" applyNumberFormat="1" applyFont="1" applyBorder="1" applyAlignment="1">
      <alignment horizontal="center" vertical="center"/>
    </xf>
    <xf numFmtId="166" fontId="10" fillId="0" borderId="26" xfId="5" applyNumberFormat="1" applyFont="1" applyFill="1" applyBorder="1" applyAlignment="1">
      <alignment horizontal="center" vertical="center"/>
    </xf>
    <xf numFmtId="0" fontId="15" fillId="0" borderId="0" xfId="0" applyFont="1" applyAlignment="1">
      <alignment horizontal="center" vertical="center"/>
    </xf>
    <xf numFmtId="1" fontId="8" fillId="0" borderId="46" xfId="1" applyNumberFormat="1" applyFont="1" applyFill="1" applyBorder="1" applyAlignment="1" applyProtection="1">
      <alignment horizontal="center" vertical="center"/>
      <protection locked="0"/>
    </xf>
    <xf numFmtId="8" fontId="8" fillId="3" borderId="63" xfId="5" applyNumberFormat="1" applyFont="1" applyBorder="1" applyAlignment="1" applyProtection="1">
      <alignment horizontal="center" vertical="center"/>
      <protection locked="0"/>
    </xf>
    <xf numFmtId="0" fontId="8" fillId="0" borderId="64" xfId="0" applyFont="1" applyBorder="1" applyAlignment="1">
      <alignment horizontal="center" vertical="center"/>
    </xf>
    <xf numFmtId="0" fontId="8" fillId="3" borderId="65" xfId="5" applyFont="1" applyBorder="1" applyAlignment="1">
      <alignment horizontal="center" vertical="center"/>
    </xf>
    <xf numFmtId="8" fontId="8" fillId="0" borderId="63" xfId="5" applyNumberFormat="1" applyFont="1" applyFill="1" applyBorder="1" applyAlignment="1" applyProtection="1">
      <alignment horizontal="center" vertical="center"/>
      <protection locked="0"/>
    </xf>
    <xf numFmtId="38" fontId="10" fillId="3" borderId="24" xfId="5" applyNumberFormat="1" applyFont="1" applyBorder="1" applyAlignment="1">
      <alignment horizontal="center" vertical="center"/>
    </xf>
    <xf numFmtId="38" fontId="10" fillId="3" borderId="48" xfId="5" applyNumberFormat="1" applyFont="1" applyBorder="1" applyAlignment="1">
      <alignment horizontal="center" vertical="center"/>
    </xf>
    <xf numFmtId="0" fontId="11" fillId="0" borderId="13" xfId="7" applyFont="1" applyBorder="1" applyAlignment="1">
      <alignment horizontal="center"/>
    </xf>
    <xf numFmtId="167" fontId="10" fillId="3" borderId="22" xfId="5" applyNumberFormat="1" applyFont="1" applyBorder="1" applyAlignment="1">
      <alignment horizontal="center" vertical="center"/>
    </xf>
    <xf numFmtId="167" fontId="10" fillId="3" borderId="28" xfId="5" applyNumberFormat="1" applyFont="1" applyBorder="1" applyAlignment="1">
      <alignment horizontal="center" vertical="center"/>
    </xf>
    <xf numFmtId="0" fontId="3" fillId="0" borderId="2" xfId="0" applyFont="1" applyBorder="1"/>
    <xf numFmtId="1" fontId="15" fillId="0" borderId="0" xfId="0" applyNumberFormat="1" applyFont="1" applyAlignment="1">
      <alignment horizontal="center" vertical="center"/>
    </xf>
    <xf numFmtId="165" fontId="10" fillId="0" borderId="44" xfId="2" applyNumberFormat="1" applyFont="1" applyFill="1" applyBorder="1" applyAlignment="1">
      <alignment horizontal="center" vertical="center"/>
    </xf>
    <xf numFmtId="165" fontId="10" fillId="0" borderId="39" xfId="2" applyNumberFormat="1" applyFont="1" applyFill="1" applyBorder="1" applyAlignment="1">
      <alignment horizontal="center" vertical="center"/>
    </xf>
    <xf numFmtId="165" fontId="10" fillId="0" borderId="45" xfId="2" applyNumberFormat="1" applyFont="1" applyFill="1" applyBorder="1" applyAlignment="1">
      <alignment horizontal="center" vertical="center"/>
    </xf>
    <xf numFmtId="1" fontId="10" fillId="3" borderId="20" xfId="5" applyNumberFormat="1" applyFont="1" applyBorder="1" applyAlignment="1">
      <alignment horizontal="center" vertical="center"/>
    </xf>
    <xf numFmtId="1" fontId="10" fillId="3" borderId="17" xfId="5" applyNumberFormat="1" applyFont="1" applyBorder="1" applyAlignment="1">
      <alignment horizontal="center" vertical="center"/>
    </xf>
    <xf numFmtId="1" fontId="10" fillId="3" borderId="26" xfId="5" applyNumberFormat="1" applyFont="1" applyBorder="1" applyAlignment="1">
      <alignment horizontal="center" vertical="center"/>
    </xf>
    <xf numFmtId="1" fontId="10" fillId="3" borderId="18" xfId="5" applyNumberFormat="1" applyFont="1" applyBorder="1" applyAlignment="1">
      <alignment horizontal="center" vertical="center"/>
    </xf>
    <xf numFmtId="1" fontId="10" fillId="3" borderId="21" xfId="5" applyNumberFormat="1" applyFont="1" applyBorder="1" applyAlignment="1">
      <alignment horizontal="center" vertical="center"/>
    </xf>
    <xf numFmtId="1" fontId="10" fillId="3" borderId="27" xfId="5" applyNumberFormat="1" applyFont="1" applyBorder="1" applyAlignment="1">
      <alignment horizontal="center" vertical="center"/>
    </xf>
    <xf numFmtId="0" fontId="11" fillId="0" borderId="32" xfId="0" applyFont="1" applyBorder="1" applyAlignment="1">
      <alignment horizontal="center" vertical="center"/>
    </xf>
    <xf numFmtId="0" fontId="11" fillId="0" borderId="34" xfId="0" applyFont="1" applyBorder="1" applyAlignment="1">
      <alignment horizontal="center" vertical="center"/>
    </xf>
    <xf numFmtId="0" fontId="10" fillId="0" borderId="66" xfId="0" applyFont="1" applyBorder="1"/>
    <xf numFmtId="0" fontId="10" fillId="0" borderId="37" xfId="0" applyFont="1" applyBorder="1"/>
    <xf numFmtId="0" fontId="10" fillId="0" borderId="40" xfId="0" applyFont="1" applyBorder="1" applyAlignment="1">
      <alignment wrapText="1"/>
    </xf>
    <xf numFmtId="0" fontId="14" fillId="0" borderId="0" xfId="0" applyFont="1"/>
    <xf numFmtId="167" fontId="10" fillId="0" borderId="56" xfId="0" applyNumberFormat="1" applyFont="1" applyBorder="1" applyAlignment="1">
      <alignment horizontal="center" vertical="center"/>
    </xf>
    <xf numFmtId="167" fontId="10" fillId="0" borderId="20" xfId="0" applyNumberFormat="1" applyFont="1" applyBorder="1" applyAlignment="1">
      <alignment horizontal="center" vertical="center"/>
    </xf>
    <xf numFmtId="167" fontId="10" fillId="0" borderId="26" xfId="0" applyNumberFormat="1" applyFont="1" applyBorder="1" applyAlignment="1">
      <alignment horizontal="center" vertical="center"/>
    </xf>
    <xf numFmtId="0" fontId="7" fillId="0" borderId="0" xfId="0" applyFont="1" applyAlignment="1">
      <alignment horizontal="left" vertical="center"/>
    </xf>
    <xf numFmtId="6" fontId="7" fillId="3" borderId="16" xfId="5" applyNumberFormat="1" applyFont="1" applyBorder="1" applyAlignment="1">
      <alignment horizontal="center" vertical="center"/>
    </xf>
    <xf numFmtId="0" fontId="7" fillId="0" borderId="8" xfId="0" applyFont="1" applyBorder="1"/>
    <xf numFmtId="10" fontId="15" fillId="0" borderId="0" xfId="0" applyNumberFormat="1" applyFont="1" applyAlignment="1">
      <alignment horizontal="center" vertical="center"/>
    </xf>
    <xf numFmtId="0" fontId="15" fillId="0" borderId="8" xfId="0" applyFont="1" applyBorder="1" applyAlignment="1">
      <alignment horizontal="center"/>
    </xf>
    <xf numFmtId="0" fontId="15" fillId="0" borderId="0" xfId="0" applyFont="1" applyAlignment="1">
      <alignment horizontal="center"/>
    </xf>
    <xf numFmtId="167" fontId="8" fillId="3" borderId="1" xfId="5" applyNumberFormat="1" applyFont="1" applyAlignment="1">
      <alignment horizontal="center" vertical="center"/>
    </xf>
    <xf numFmtId="167" fontId="8" fillId="0" borderId="22" xfId="2" applyNumberFormat="1" applyFont="1" applyFill="1" applyBorder="1" applyAlignment="1" applyProtection="1">
      <alignment horizontal="center" vertical="center"/>
      <protection locked="0"/>
    </xf>
    <xf numFmtId="167" fontId="8" fillId="0" borderId="39" xfId="2" applyNumberFormat="1" applyFont="1" applyFill="1" applyBorder="1" applyAlignment="1" applyProtection="1">
      <alignment horizontal="center" vertical="center"/>
      <protection locked="0"/>
    </xf>
    <xf numFmtId="166" fontId="8" fillId="0" borderId="9" xfId="2" applyNumberFormat="1" applyFont="1" applyFill="1" applyBorder="1" applyAlignment="1">
      <alignment horizontal="center" vertical="center"/>
    </xf>
    <xf numFmtId="0" fontId="7" fillId="0" borderId="47" xfId="0" applyFont="1" applyBorder="1" applyAlignment="1">
      <alignment horizontal="center" vertical="center"/>
    </xf>
    <xf numFmtId="0" fontId="7" fillId="0" borderId="43" xfId="0" applyFont="1" applyBorder="1" applyAlignment="1">
      <alignment horizontal="center" vertical="center"/>
    </xf>
    <xf numFmtId="0" fontId="7" fillId="0" borderId="54" xfId="0" applyFont="1" applyBorder="1" applyAlignment="1">
      <alignment horizontal="center" vertical="center"/>
    </xf>
    <xf numFmtId="166" fontId="8" fillId="0" borderId="68" xfId="2" applyNumberFormat="1" applyFont="1" applyFill="1" applyBorder="1" applyAlignment="1">
      <alignment horizontal="center" vertical="center"/>
    </xf>
    <xf numFmtId="166" fontId="8" fillId="0" borderId="69" xfId="2" applyNumberFormat="1" applyFont="1" applyFill="1" applyBorder="1" applyAlignment="1">
      <alignment horizontal="center" vertical="center"/>
    </xf>
    <xf numFmtId="166" fontId="8" fillId="0" borderId="70" xfId="2" applyNumberFormat="1" applyFont="1" applyFill="1" applyBorder="1" applyAlignment="1">
      <alignment horizontal="center" vertical="center"/>
    </xf>
    <xf numFmtId="167" fontId="5" fillId="0" borderId="61" xfId="5" applyNumberFormat="1" applyFont="1" applyFill="1" applyBorder="1" applyAlignment="1">
      <alignment horizontal="center" vertical="center"/>
    </xf>
    <xf numFmtId="166" fontId="18" fillId="3" borderId="35" xfId="5" applyNumberFormat="1" applyFont="1" applyBorder="1" applyAlignment="1">
      <alignment horizontal="center" vertical="center"/>
    </xf>
    <xf numFmtId="166" fontId="18" fillId="3" borderId="37" xfId="5" applyNumberFormat="1" applyFont="1" applyBorder="1" applyAlignment="1">
      <alignment horizontal="center" vertical="center"/>
    </xf>
    <xf numFmtId="3" fontId="18" fillId="3" borderId="36" xfId="1" applyNumberFormat="1" applyFont="1" applyFill="1" applyBorder="1" applyAlignment="1">
      <alignment horizontal="center" vertical="center"/>
    </xf>
    <xf numFmtId="3" fontId="18" fillId="3" borderId="38" xfId="1" applyNumberFormat="1" applyFont="1" applyFill="1" applyBorder="1" applyAlignment="1">
      <alignment horizontal="center" vertical="center"/>
    </xf>
    <xf numFmtId="167" fontId="19" fillId="3" borderId="16" xfId="5" applyNumberFormat="1" applyFont="1" applyBorder="1" applyAlignment="1">
      <alignment horizontal="center" vertical="center"/>
    </xf>
    <xf numFmtId="0" fontId="7" fillId="0" borderId="62" xfId="4" applyFont="1" applyFill="1" applyBorder="1" applyAlignment="1">
      <alignment horizontal="center" vertical="center"/>
    </xf>
    <xf numFmtId="38" fontId="7" fillId="3" borderId="12" xfId="5" applyNumberFormat="1" applyFont="1" applyBorder="1" applyAlignment="1">
      <alignment horizontal="left" vertical="center" wrapText="1"/>
    </xf>
    <xf numFmtId="38" fontId="7" fillId="3" borderId="8" xfId="5" applyNumberFormat="1" applyFont="1" applyBorder="1" applyAlignment="1">
      <alignment horizontal="left" vertical="center" wrapText="1"/>
    </xf>
    <xf numFmtId="38" fontId="10" fillId="0" borderId="0" xfId="0" applyNumberFormat="1" applyFont="1" applyAlignment="1">
      <alignment horizontal="center" vertical="center"/>
    </xf>
    <xf numFmtId="165" fontId="18" fillId="3" borderId="16" xfId="5" applyNumberFormat="1" applyFont="1" applyBorder="1" applyAlignment="1">
      <alignment horizontal="center" vertical="center"/>
    </xf>
    <xf numFmtId="166" fontId="7" fillId="0" borderId="57" xfId="2" applyNumberFormat="1" applyFont="1" applyBorder="1" applyAlignment="1">
      <alignment horizontal="center" vertical="center"/>
    </xf>
    <xf numFmtId="165" fontId="8" fillId="0" borderId="20" xfId="2" applyNumberFormat="1" applyFont="1" applyFill="1" applyBorder="1" applyAlignment="1">
      <alignment horizontal="center" vertical="center"/>
    </xf>
    <xf numFmtId="165" fontId="8" fillId="0" borderId="21" xfId="2" applyNumberFormat="1" applyFont="1" applyFill="1" applyBorder="1" applyAlignment="1">
      <alignment horizontal="center" vertical="center"/>
    </xf>
    <xf numFmtId="3" fontId="10" fillId="0" borderId="0" xfId="0" applyNumberFormat="1" applyFont="1" applyAlignment="1">
      <alignment horizontal="center" vertical="center"/>
    </xf>
    <xf numFmtId="0" fontId="8" fillId="0" borderId="57" xfId="0" applyFont="1" applyBorder="1" applyAlignment="1">
      <alignment wrapText="1"/>
    </xf>
    <xf numFmtId="167" fontId="8" fillId="0" borderId="57" xfId="0" applyNumberFormat="1" applyFont="1" applyBorder="1" applyAlignment="1" applyProtection="1">
      <alignment horizontal="center" vertical="center"/>
      <protection locked="0"/>
    </xf>
    <xf numFmtId="166" fontId="8" fillId="0" borderId="57" xfId="2" applyNumberFormat="1" applyFont="1" applyFill="1" applyBorder="1" applyAlignment="1" applyProtection="1">
      <alignment horizontal="center" vertical="center"/>
      <protection locked="0"/>
    </xf>
    <xf numFmtId="166" fontId="8" fillId="0" borderId="50" xfId="2" applyNumberFormat="1" applyFont="1" applyFill="1" applyBorder="1" applyAlignment="1">
      <alignment horizontal="center" vertical="center"/>
    </xf>
    <xf numFmtId="166" fontId="10" fillId="5" borderId="56" xfId="0" applyNumberFormat="1" applyFont="1" applyFill="1" applyBorder="1" applyAlignment="1">
      <alignment horizontal="center" vertical="center"/>
    </xf>
    <xf numFmtId="166" fontId="10" fillId="5" borderId="67" xfId="0" applyNumberFormat="1" applyFont="1" applyFill="1" applyBorder="1" applyAlignment="1">
      <alignment horizontal="center" vertical="center"/>
    </xf>
    <xf numFmtId="166" fontId="10" fillId="5" borderId="20" xfId="0" applyNumberFormat="1" applyFont="1" applyFill="1" applyBorder="1" applyAlignment="1">
      <alignment horizontal="center" vertical="center"/>
    </xf>
    <xf numFmtId="166" fontId="10" fillId="5" borderId="38" xfId="0" applyNumberFormat="1" applyFont="1" applyFill="1" applyBorder="1" applyAlignment="1">
      <alignment horizontal="center" vertical="center"/>
    </xf>
    <xf numFmtId="166" fontId="10" fillId="5" borderId="26" xfId="0" applyNumberFormat="1" applyFont="1" applyFill="1" applyBorder="1" applyAlignment="1">
      <alignment horizontal="center" vertical="center"/>
    </xf>
    <xf numFmtId="166" fontId="10" fillId="5" borderId="41" xfId="0" applyNumberFormat="1" applyFont="1" applyFill="1" applyBorder="1" applyAlignment="1">
      <alignment horizontal="center" vertical="center"/>
    </xf>
    <xf numFmtId="3" fontId="8" fillId="0" borderId="25" xfId="6" applyNumberFormat="1" applyFont="1" applyBorder="1" applyAlignment="1">
      <alignment horizontal="center" vertical="center"/>
    </xf>
    <xf numFmtId="5" fontId="8" fillId="0" borderId="46" xfId="2" applyNumberFormat="1" applyFont="1" applyFill="1" applyBorder="1" applyAlignment="1">
      <alignment horizontal="center" vertical="center"/>
    </xf>
    <xf numFmtId="165" fontId="8" fillId="0" borderId="52" xfId="6" applyNumberFormat="1" applyFont="1" applyBorder="1" applyAlignment="1">
      <alignment horizontal="center" vertical="center"/>
    </xf>
    <xf numFmtId="165" fontId="8" fillId="0" borderId="71" xfId="2" applyNumberFormat="1" applyFont="1" applyFill="1" applyBorder="1" applyAlignment="1">
      <alignment horizontal="center" vertical="center"/>
    </xf>
    <xf numFmtId="4" fontId="8" fillId="0" borderId="0" xfId="2" applyNumberFormat="1" applyFont="1" applyFill="1" applyBorder="1" applyAlignment="1">
      <alignment horizontal="center" vertical="center"/>
    </xf>
    <xf numFmtId="38" fontId="8" fillId="0" borderId="55" xfId="5" applyNumberFormat="1" applyFont="1" applyFill="1" applyBorder="1" applyAlignment="1">
      <alignment horizontal="center" vertical="center"/>
    </xf>
    <xf numFmtId="38" fontId="8" fillId="0" borderId="35" xfId="5" applyNumberFormat="1" applyFont="1" applyFill="1" applyBorder="1" applyAlignment="1">
      <alignment horizontal="center" vertical="center"/>
    </xf>
    <xf numFmtId="38" fontId="8" fillId="0" borderId="24" xfId="5" applyNumberFormat="1" applyFont="1" applyFill="1" applyBorder="1" applyAlignment="1">
      <alignment horizontal="center" vertical="center"/>
    </xf>
    <xf numFmtId="38" fontId="8" fillId="0" borderId="37" xfId="5" applyNumberFormat="1" applyFont="1" applyFill="1" applyBorder="1" applyAlignment="1">
      <alignment horizontal="center" vertical="center"/>
    </xf>
    <xf numFmtId="165" fontId="8" fillId="6" borderId="30" xfId="2" applyNumberFormat="1" applyFont="1" applyFill="1" applyBorder="1" applyAlignment="1">
      <alignment horizontal="center" vertical="center"/>
    </xf>
    <xf numFmtId="165" fontId="8" fillId="6" borderId="20" xfId="2" applyNumberFormat="1" applyFont="1" applyFill="1" applyBorder="1" applyAlignment="1">
      <alignment horizontal="center" vertical="center"/>
    </xf>
    <xf numFmtId="10" fontId="10" fillId="0" borderId="0" xfId="0" applyNumberFormat="1" applyFont="1"/>
    <xf numFmtId="0" fontId="8" fillId="3" borderId="15" xfId="5" applyFont="1" applyBorder="1" applyAlignment="1">
      <alignment horizontal="center" vertical="center"/>
    </xf>
    <xf numFmtId="8" fontId="8" fillId="3" borderId="0" xfId="5" applyNumberFormat="1" applyFont="1" applyBorder="1" applyAlignment="1" applyProtection="1">
      <alignment horizontal="center" vertical="center"/>
      <protection locked="0"/>
    </xf>
    <xf numFmtId="165" fontId="8" fillId="6" borderId="71" xfId="2" applyNumberFormat="1" applyFont="1" applyFill="1" applyBorder="1" applyAlignment="1">
      <alignment horizontal="center" vertical="center"/>
    </xf>
    <xf numFmtId="165" fontId="8" fillId="0" borderId="73" xfId="2" applyNumberFormat="1" applyFont="1" applyFill="1" applyBorder="1" applyAlignment="1">
      <alignment horizontal="center" vertical="center"/>
    </xf>
    <xf numFmtId="10" fontId="8" fillId="0" borderId="0" xfId="0" applyNumberFormat="1" applyFont="1" applyAlignment="1">
      <alignment horizontal="center" vertical="center"/>
    </xf>
    <xf numFmtId="38" fontId="7" fillId="0" borderId="8" xfId="0" applyNumberFormat="1" applyFont="1" applyBorder="1"/>
    <xf numFmtId="166" fontId="8" fillId="0" borderId="74" xfId="2" applyNumberFormat="1" applyFont="1" applyFill="1" applyBorder="1" applyAlignment="1">
      <alignment horizontal="center" vertical="center"/>
    </xf>
    <xf numFmtId="166" fontId="8" fillId="0" borderId="75" xfId="2" applyNumberFormat="1" applyFont="1" applyFill="1" applyBorder="1" applyAlignment="1">
      <alignment horizontal="center" vertical="center"/>
    </xf>
    <xf numFmtId="166" fontId="8" fillId="0" borderId="72" xfId="2" applyNumberFormat="1" applyFont="1" applyFill="1" applyBorder="1" applyAlignment="1">
      <alignment horizontal="center" vertical="center"/>
    </xf>
    <xf numFmtId="166" fontId="8" fillId="0" borderId="76" xfId="2" applyNumberFormat="1" applyFont="1" applyFill="1" applyBorder="1" applyAlignment="1">
      <alignment horizontal="center" vertical="center"/>
    </xf>
    <xf numFmtId="38" fontId="8" fillId="0" borderId="3" xfId="0" applyNumberFormat="1" applyFont="1" applyBorder="1"/>
    <xf numFmtId="3" fontId="8" fillId="0" borderId="0" xfId="1" applyNumberFormat="1" applyFont="1" applyFill="1" applyBorder="1" applyAlignment="1" applyProtection="1">
      <alignment horizontal="center" vertical="center"/>
      <protection locked="0"/>
    </xf>
    <xf numFmtId="38" fontId="10" fillId="0" borderId="49" xfId="0" applyNumberFormat="1" applyFont="1" applyBorder="1"/>
    <xf numFmtId="167" fontId="8" fillId="0" borderId="23" xfId="2" applyNumberFormat="1" applyFont="1" applyFill="1" applyBorder="1" applyAlignment="1" applyProtection="1">
      <alignment horizontal="center" vertical="center"/>
      <protection locked="0"/>
    </xf>
    <xf numFmtId="166" fontId="8" fillId="0" borderId="77" xfId="2" applyNumberFormat="1" applyFont="1" applyFill="1" applyBorder="1" applyAlignment="1" applyProtection="1">
      <alignment horizontal="center" vertical="center"/>
      <protection locked="0"/>
    </xf>
    <xf numFmtId="167" fontId="8" fillId="0" borderId="57" xfId="2" applyNumberFormat="1" applyFont="1" applyFill="1" applyBorder="1" applyAlignment="1" applyProtection="1">
      <alignment horizontal="center" vertical="center"/>
      <protection locked="0"/>
    </xf>
    <xf numFmtId="166" fontId="8" fillId="0" borderId="71" xfId="2" applyNumberFormat="1" applyFont="1" applyFill="1" applyBorder="1" applyAlignment="1" applyProtection="1">
      <alignment horizontal="center" vertical="center"/>
      <protection locked="0"/>
    </xf>
    <xf numFmtId="166" fontId="8" fillId="0" borderId="31" xfId="2" applyNumberFormat="1" applyFont="1" applyFill="1" applyBorder="1" applyAlignment="1" applyProtection="1">
      <alignment horizontal="center" vertical="center"/>
      <protection locked="0"/>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xf>
    <xf numFmtId="0" fontId="10" fillId="4" borderId="13" xfId="0" applyFont="1" applyFill="1" applyBorder="1" applyAlignment="1">
      <alignment vertical="center" wrapText="1"/>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166" fontId="11" fillId="0" borderId="4" xfId="0" applyNumberFormat="1" applyFont="1" applyBorder="1" applyAlignment="1">
      <alignment horizontal="center" vertical="center"/>
    </xf>
    <xf numFmtId="166" fontId="11" fillId="0" borderId="7"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xf>
    <xf numFmtId="0" fontId="11" fillId="0" borderId="7" xfId="0" applyFont="1" applyBorder="1" applyAlignment="1">
      <alignment horizontal="center"/>
    </xf>
    <xf numFmtId="0" fontId="11" fillId="0" borderId="10" xfId="0" applyFont="1" applyBorder="1" applyAlignment="1">
      <alignment horizont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38" fontId="7" fillId="0" borderId="0" xfId="0" applyNumberFormat="1" applyFont="1" applyAlignment="1">
      <alignment horizontal="left"/>
    </xf>
    <xf numFmtId="0" fontId="8" fillId="0" borderId="3" xfId="0" applyFont="1" applyBorder="1" applyAlignment="1">
      <alignment horizontal="center"/>
    </xf>
    <xf numFmtId="0" fontId="8" fillId="0" borderId="0" xfId="0" applyFont="1" applyAlignment="1">
      <alignment horizontal="center"/>
    </xf>
    <xf numFmtId="0" fontId="8" fillId="0" borderId="11" xfId="0" applyFont="1" applyBorder="1" applyAlignment="1">
      <alignment horizont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58" xfId="0" applyFont="1" applyBorder="1" applyAlignment="1">
      <alignment horizontal="center" vertical="center"/>
    </xf>
    <xf numFmtId="0" fontId="11" fillId="0" borderId="33" xfId="0" applyFont="1" applyBorder="1" applyAlignment="1">
      <alignment horizontal="center" vertical="center"/>
    </xf>
    <xf numFmtId="0" fontId="11" fillId="0" borderId="42" xfId="0" applyFont="1" applyBorder="1" applyAlignment="1">
      <alignment horizontal="center" vertical="center"/>
    </xf>
    <xf numFmtId="0" fontId="11" fillId="0" borderId="19" xfId="0" applyFont="1" applyBorder="1" applyAlignment="1">
      <alignment horizontal="center" vertical="center"/>
    </xf>
    <xf numFmtId="0" fontId="11" fillId="0" borderId="28" xfId="0" applyFont="1" applyBorder="1" applyAlignment="1">
      <alignment horizontal="center" vertical="center"/>
    </xf>
    <xf numFmtId="0" fontId="11" fillId="0" borderId="2" xfId="7" applyFont="1" applyBorder="1" applyAlignment="1">
      <alignment horizontal="center" vertical="center"/>
    </xf>
    <xf numFmtId="0" fontId="11" fillId="0" borderId="6" xfId="7" applyFont="1" applyBorder="1" applyAlignment="1">
      <alignment horizontal="center" vertical="center"/>
    </xf>
    <xf numFmtId="0" fontId="11" fillId="0" borderId="9" xfId="7" applyFont="1" applyBorder="1" applyAlignment="1">
      <alignment horizontal="center" vertical="center"/>
    </xf>
  </cellXfs>
  <cellStyles count="9">
    <cellStyle name="Comma" xfId="1" builtinId="3"/>
    <cellStyle name="Currency" xfId="2" builtinId="4"/>
    <cellStyle name="Good" xfId="4" builtinId="26"/>
    <cellStyle name="Normal" xfId="0" builtinId="0"/>
    <cellStyle name="Normal 2" xfId="8"/>
    <cellStyle name="Normal 2 2" xfId="6"/>
    <cellStyle name="Normal 5" xfId="7"/>
    <cellStyle name="Note" xfId="5" builtinId="10"/>
    <cellStyle name="Percent" xfId="3" builtinId="5"/>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7"/>
  <sheetViews>
    <sheetView workbookViewId="0"/>
  </sheetViews>
  <sheetFormatPr defaultColWidth="9.1796875" defaultRowHeight="13" x14ac:dyDescent="0.3"/>
  <cols>
    <col min="1" max="1" width="9.1796875" style="10" customWidth="1"/>
    <col min="2" max="4" width="57.7265625" style="10" customWidth="1"/>
    <col min="5" max="13" width="10.7265625" style="10" customWidth="1"/>
    <col min="14" max="16384" width="9.1796875" style="10"/>
  </cols>
  <sheetData>
    <row r="2" spans="2:4" x14ac:dyDescent="0.3">
      <c r="B2" s="11" t="s">
        <v>110</v>
      </c>
    </row>
    <row r="4" spans="2:4" ht="42" customHeight="1" x14ac:dyDescent="0.3">
      <c r="B4" s="371" t="s">
        <v>115</v>
      </c>
      <c r="C4" s="371"/>
      <c r="D4" s="371"/>
    </row>
    <row r="6" spans="2:4" ht="13.5" thickBot="1" x14ac:dyDescent="0.35">
      <c r="B6" s="58" t="s">
        <v>34</v>
      </c>
      <c r="C6" s="372"/>
      <c r="D6" s="372"/>
    </row>
    <row r="7" spans="2:4" ht="65.5" thickBot="1" x14ac:dyDescent="0.35">
      <c r="B7" s="59" t="s">
        <v>111</v>
      </c>
      <c r="C7" s="93" t="s">
        <v>94</v>
      </c>
      <c r="D7" s="103" t="s">
        <v>95</v>
      </c>
    </row>
    <row r="8" spans="2:4" x14ac:dyDescent="0.3">
      <c r="B8" s="368" t="s">
        <v>35</v>
      </c>
      <c r="C8" s="60" t="s">
        <v>31</v>
      </c>
      <c r="D8" s="373"/>
    </row>
    <row r="9" spans="2:4" x14ac:dyDescent="0.3">
      <c r="B9" s="369"/>
      <c r="C9" s="61" t="s">
        <v>36</v>
      </c>
      <c r="D9" s="374"/>
    </row>
    <row r="10" spans="2:4" x14ac:dyDescent="0.3">
      <c r="B10" s="369"/>
      <c r="C10" s="61" t="s">
        <v>37</v>
      </c>
      <c r="D10" s="374"/>
    </row>
    <row r="11" spans="2:4" x14ac:dyDescent="0.3">
      <c r="B11" s="369"/>
      <c r="C11" s="60" t="s">
        <v>38</v>
      </c>
      <c r="D11" s="374"/>
    </row>
    <row r="12" spans="2:4" ht="26" x14ac:dyDescent="0.3">
      <c r="B12" s="369"/>
      <c r="C12" s="61" t="s">
        <v>56</v>
      </c>
      <c r="D12" s="374"/>
    </row>
    <row r="13" spans="2:4" x14ac:dyDescent="0.3">
      <c r="B13" s="369"/>
      <c r="C13" s="60" t="s">
        <v>39</v>
      </c>
      <c r="D13" s="374"/>
    </row>
    <row r="14" spans="2:4" ht="13.5" thickBot="1" x14ac:dyDescent="0.35">
      <c r="B14" s="370"/>
      <c r="C14" s="62" t="s">
        <v>40</v>
      </c>
      <c r="D14" s="375"/>
    </row>
    <row r="15" spans="2:4" x14ac:dyDescent="0.3">
      <c r="B15" s="368" t="s">
        <v>41</v>
      </c>
      <c r="C15" s="60" t="s">
        <v>42</v>
      </c>
      <c r="D15" s="373"/>
    </row>
    <row r="16" spans="2:4" x14ac:dyDescent="0.3">
      <c r="B16" s="369"/>
      <c r="C16" s="61" t="s">
        <v>43</v>
      </c>
      <c r="D16" s="374"/>
    </row>
    <row r="17" spans="2:4" x14ac:dyDescent="0.3">
      <c r="B17" s="369"/>
      <c r="C17" s="60" t="s">
        <v>44</v>
      </c>
      <c r="D17" s="374"/>
    </row>
    <row r="18" spans="2:4" x14ac:dyDescent="0.3">
      <c r="B18" s="369"/>
      <c r="C18" s="63" t="s">
        <v>45</v>
      </c>
      <c r="D18" s="374"/>
    </row>
    <row r="19" spans="2:4" x14ac:dyDescent="0.3">
      <c r="B19" s="369"/>
      <c r="C19" s="61" t="s">
        <v>46</v>
      </c>
      <c r="D19" s="374"/>
    </row>
    <row r="20" spans="2:4" ht="13.5" thickBot="1" x14ac:dyDescent="0.35">
      <c r="B20" s="370"/>
      <c r="C20" s="62" t="s">
        <v>47</v>
      </c>
      <c r="D20" s="375"/>
    </row>
    <row r="21" spans="2:4" x14ac:dyDescent="0.3">
      <c r="B21" s="64"/>
    </row>
    <row r="22" spans="2:4" ht="13.5" thickBot="1" x14ac:dyDescent="0.35">
      <c r="B22" s="58" t="s">
        <v>48</v>
      </c>
    </row>
    <row r="23" spans="2:4" ht="39.5" thickBot="1" x14ac:dyDescent="0.35">
      <c r="B23" s="59" t="s">
        <v>112</v>
      </c>
      <c r="C23" s="93" t="str">
        <f>C7</f>
        <v>IMD Cost Limit</v>
      </c>
      <c r="D23" s="93" t="str">
        <f>D7</f>
        <v>SUD IMD Hypothetical CNOM Services Limit</v>
      </c>
    </row>
    <row r="24" spans="2:4" x14ac:dyDescent="0.3">
      <c r="B24" s="368" t="s">
        <v>35</v>
      </c>
      <c r="C24" s="60" t="s">
        <v>31</v>
      </c>
      <c r="D24" s="60" t="s">
        <v>31</v>
      </c>
    </row>
    <row r="25" spans="2:4" ht="26" x14ac:dyDescent="0.3">
      <c r="B25" s="369"/>
      <c r="C25" s="61" t="s">
        <v>36</v>
      </c>
      <c r="D25" s="61" t="s">
        <v>49</v>
      </c>
    </row>
    <row r="26" spans="2:4" x14ac:dyDescent="0.3">
      <c r="B26" s="369"/>
      <c r="C26" s="61" t="s">
        <v>37</v>
      </c>
      <c r="D26" s="61" t="s">
        <v>50</v>
      </c>
    </row>
    <row r="27" spans="2:4" ht="26" x14ac:dyDescent="0.3">
      <c r="B27" s="369"/>
      <c r="C27" s="60" t="s">
        <v>38</v>
      </c>
      <c r="D27" s="61" t="s">
        <v>51</v>
      </c>
    </row>
    <row r="28" spans="2:4" ht="26" x14ac:dyDescent="0.3">
      <c r="B28" s="369"/>
      <c r="C28" s="61" t="s">
        <v>56</v>
      </c>
      <c r="D28" s="60" t="s">
        <v>38</v>
      </c>
    </row>
    <row r="29" spans="2:4" ht="26" x14ac:dyDescent="0.3">
      <c r="B29" s="369"/>
      <c r="C29" s="61" t="s">
        <v>57</v>
      </c>
      <c r="D29" s="61" t="s">
        <v>58</v>
      </c>
    </row>
    <row r="30" spans="2:4" x14ac:dyDescent="0.3">
      <c r="B30" s="369"/>
      <c r="C30" s="60" t="s">
        <v>39</v>
      </c>
      <c r="D30" s="60" t="s">
        <v>39</v>
      </c>
    </row>
    <row r="31" spans="2:4" ht="13.5" thickBot="1" x14ac:dyDescent="0.35">
      <c r="B31" s="370"/>
      <c r="C31" s="62" t="s">
        <v>40</v>
      </c>
      <c r="D31" s="62" t="s">
        <v>52</v>
      </c>
    </row>
    <row r="32" spans="2:4" x14ac:dyDescent="0.3">
      <c r="B32" s="368" t="s">
        <v>41</v>
      </c>
      <c r="C32" s="60" t="s">
        <v>42</v>
      </c>
      <c r="D32" s="60" t="s">
        <v>42</v>
      </c>
    </row>
    <row r="33" spans="2:4" ht="26" x14ac:dyDescent="0.3">
      <c r="B33" s="369"/>
      <c r="C33" s="61" t="s">
        <v>43</v>
      </c>
      <c r="D33" s="61" t="s">
        <v>53</v>
      </c>
    </row>
    <row r="34" spans="2:4" x14ac:dyDescent="0.3">
      <c r="B34" s="369"/>
      <c r="C34" s="60" t="s">
        <v>44</v>
      </c>
      <c r="D34" s="60" t="s">
        <v>44</v>
      </c>
    </row>
    <row r="35" spans="2:4" x14ac:dyDescent="0.3">
      <c r="B35" s="369"/>
      <c r="C35" s="63" t="s">
        <v>45</v>
      </c>
      <c r="D35" s="63" t="s">
        <v>45</v>
      </c>
    </row>
    <row r="36" spans="2:4" x14ac:dyDescent="0.3">
      <c r="B36" s="369"/>
      <c r="C36" s="61" t="s">
        <v>46</v>
      </c>
      <c r="D36" s="61" t="s">
        <v>54</v>
      </c>
    </row>
    <row r="37" spans="2:4" ht="13.5" thickBot="1" x14ac:dyDescent="0.35">
      <c r="B37" s="370"/>
      <c r="C37" s="62" t="s">
        <v>47</v>
      </c>
      <c r="D37" s="62" t="s">
        <v>55</v>
      </c>
    </row>
    <row r="39" spans="2:4" x14ac:dyDescent="0.3">
      <c r="B39" s="58" t="s">
        <v>59</v>
      </c>
    </row>
    <row r="40" spans="2:4" x14ac:dyDescent="0.3">
      <c r="B40" s="64" t="s">
        <v>60</v>
      </c>
    </row>
    <row r="41" spans="2:4" x14ac:dyDescent="0.3">
      <c r="B41" s="64" t="s">
        <v>116</v>
      </c>
    </row>
    <row r="42" spans="2:4" x14ac:dyDescent="0.3">
      <c r="B42" s="64" t="s">
        <v>61</v>
      </c>
    </row>
    <row r="43" spans="2:4" x14ac:dyDescent="0.3">
      <c r="B43" s="64" t="s">
        <v>62</v>
      </c>
    </row>
    <row r="44" spans="2:4" x14ac:dyDescent="0.3">
      <c r="B44" s="64" t="s">
        <v>63</v>
      </c>
    </row>
    <row r="45" spans="2:4" x14ac:dyDescent="0.3">
      <c r="B45" s="64" t="s">
        <v>64</v>
      </c>
    </row>
    <row r="46" spans="2:4" x14ac:dyDescent="0.3">
      <c r="B46" s="64"/>
    </row>
    <row r="47" spans="2:4" x14ac:dyDescent="0.3">
      <c r="B47" s="58" t="s">
        <v>65</v>
      </c>
    </row>
    <row r="48" spans="2:4" x14ac:dyDescent="0.3">
      <c r="B48" s="65" t="s">
        <v>66</v>
      </c>
    </row>
    <row r="49" spans="2:2" x14ac:dyDescent="0.3">
      <c r="B49" s="65" t="s">
        <v>113</v>
      </c>
    </row>
    <row r="50" spans="2:2" x14ac:dyDescent="0.3">
      <c r="B50" s="10" t="s">
        <v>123</v>
      </c>
    </row>
    <row r="52" spans="2:2" x14ac:dyDescent="0.3">
      <c r="B52" s="58" t="s">
        <v>67</v>
      </c>
    </row>
    <row r="53" spans="2:2" x14ac:dyDescent="0.3">
      <c r="B53" s="64" t="s">
        <v>68</v>
      </c>
    </row>
    <row r="54" spans="2:2" x14ac:dyDescent="0.3">
      <c r="B54" s="66" t="s">
        <v>117</v>
      </c>
    </row>
    <row r="55" spans="2:2" x14ac:dyDescent="0.3">
      <c r="B55" s="66" t="s">
        <v>118</v>
      </c>
    </row>
    <row r="56" spans="2:2" x14ac:dyDescent="0.3">
      <c r="B56" s="66" t="s">
        <v>74</v>
      </c>
    </row>
    <row r="57" spans="2:2" x14ac:dyDescent="0.3">
      <c r="B57" s="66" t="s">
        <v>124</v>
      </c>
    </row>
    <row r="58" spans="2:2" x14ac:dyDescent="0.3">
      <c r="B58" s="64"/>
    </row>
    <row r="59" spans="2:2" x14ac:dyDescent="0.3">
      <c r="B59" s="58" t="s">
        <v>69</v>
      </c>
    </row>
    <row r="60" spans="2:2" x14ac:dyDescent="0.3">
      <c r="B60" s="64" t="s">
        <v>70</v>
      </c>
    </row>
    <row r="61" spans="2:2" x14ac:dyDescent="0.3">
      <c r="B61" s="65" t="s">
        <v>75</v>
      </c>
    </row>
    <row r="62" spans="2:2" x14ac:dyDescent="0.3">
      <c r="B62" s="65" t="s">
        <v>76</v>
      </c>
    </row>
    <row r="63" spans="2:2" x14ac:dyDescent="0.3">
      <c r="B63" s="65"/>
    </row>
    <row r="64" spans="2:2" x14ac:dyDescent="0.3">
      <c r="B64" s="58" t="s">
        <v>122</v>
      </c>
    </row>
    <row r="65" spans="2:2" x14ac:dyDescent="0.3">
      <c r="B65" s="65" t="s">
        <v>126</v>
      </c>
    </row>
    <row r="66" spans="2:2" x14ac:dyDescent="0.3">
      <c r="B66" s="64"/>
    </row>
    <row r="67" spans="2:2" x14ac:dyDescent="0.3">
      <c r="B67" s="58" t="s">
        <v>71</v>
      </c>
    </row>
    <row r="68" spans="2:2" x14ac:dyDescent="0.3">
      <c r="B68" s="64" t="s">
        <v>119</v>
      </c>
    </row>
    <row r="69" spans="2:2" x14ac:dyDescent="0.3">
      <c r="B69" s="64"/>
    </row>
    <row r="70" spans="2:2" x14ac:dyDescent="0.3">
      <c r="B70" s="58" t="s">
        <v>72</v>
      </c>
    </row>
    <row r="71" spans="2:2" x14ac:dyDescent="0.3">
      <c r="B71" s="64" t="s">
        <v>125</v>
      </c>
    </row>
    <row r="72" spans="2:2" x14ac:dyDescent="0.3">
      <c r="B72" s="64"/>
    </row>
    <row r="73" spans="2:2" x14ac:dyDescent="0.3">
      <c r="B73" s="58" t="s">
        <v>73</v>
      </c>
    </row>
    <row r="74" spans="2:2" x14ac:dyDescent="0.3">
      <c r="B74" s="64" t="s">
        <v>114</v>
      </c>
    </row>
    <row r="76" spans="2:2" x14ac:dyDescent="0.3">
      <c r="B76" s="11" t="s">
        <v>87</v>
      </c>
    </row>
    <row r="77" spans="2:2" x14ac:dyDescent="0.3">
      <c r="B77" s="10" t="s">
        <v>120</v>
      </c>
    </row>
  </sheetData>
  <mergeCells count="8">
    <mergeCell ref="B32:B37"/>
    <mergeCell ref="B4:D4"/>
    <mergeCell ref="C6:D6"/>
    <mergeCell ref="B8:B14"/>
    <mergeCell ref="D8:D14"/>
    <mergeCell ref="B15:B20"/>
    <mergeCell ref="D15:D20"/>
    <mergeCell ref="B24:B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0"/>
  <sheetViews>
    <sheetView workbookViewId="0"/>
  </sheetViews>
  <sheetFormatPr defaultColWidth="9.1796875" defaultRowHeight="13" x14ac:dyDescent="0.3"/>
  <cols>
    <col min="1" max="1" width="9.1796875" style="10"/>
    <col min="2" max="2" width="36.7265625" style="10" customWidth="1"/>
    <col min="3" max="9" width="20.7265625" style="33" customWidth="1"/>
    <col min="10" max="11" width="20.7265625" style="10" customWidth="1"/>
    <col min="12" max="16384" width="9.1796875" style="10"/>
  </cols>
  <sheetData>
    <row r="2" spans="2:10" ht="13.5" thickBot="1" x14ac:dyDescent="0.35">
      <c r="B2" s="26" t="s">
        <v>17</v>
      </c>
      <c r="C2" s="45"/>
      <c r="D2" s="45"/>
      <c r="E2" s="45"/>
      <c r="F2" s="45"/>
      <c r="G2" s="45"/>
      <c r="H2" s="45"/>
      <c r="I2" s="45"/>
    </row>
    <row r="3" spans="2:10" ht="13.5" thickBot="1" x14ac:dyDescent="0.35">
      <c r="B3" s="26"/>
      <c r="C3" s="112" t="s">
        <v>84</v>
      </c>
      <c r="D3" s="112"/>
      <c r="E3" s="298" t="s">
        <v>86</v>
      </c>
      <c r="G3" s="45"/>
      <c r="H3" s="45"/>
      <c r="I3" s="45"/>
    </row>
    <row r="4" spans="2:10" ht="13.5" thickBot="1" x14ac:dyDescent="0.35">
      <c r="B4" s="320" t="s">
        <v>134</v>
      </c>
      <c r="C4" s="319"/>
      <c r="D4" s="46"/>
      <c r="E4" s="46"/>
      <c r="F4" s="46" t="s">
        <v>142</v>
      </c>
      <c r="G4" s="47" t="s">
        <v>143</v>
      </c>
      <c r="H4" s="17" t="s">
        <v>18</v>
      </c>
      <c r="I4" s="10"/>
    </row>
    <row r="5" spans="2:10" x14ac:dyDescent="0.3">
      <c r="B5" s="14" t="s">
        <v>10</v>
      </c>
      <c r="C5" s="55"/>
      <c r="D5" s="56"/>
      <c r="E5" s="56"/>
      <c r="F5" s="56">
        <v>931834.30530000001</v>
      </c>
      <c r="G5" s="57">
        <v>678704.74999999988</v>
      </c>
      <c r="H5" s="339"/>
      <c r="I5" s="10"/>
    </row>
    <row r="6" spans="2:10" ht="13.5" thickBot="1" x14ac:dyDescent="0.35">
      <c r="B6" s="15" t="s">
        <v>11</v>
      </c>
      <c r="C6" s="70"/>
      <c r="D6" s="71"/>
      <c r="E6" s="71"/>
      <c r="F6" s="71">
        <v>695</v>
      </c>
      <c r="G6" s="72">
        <v>617</v>
      </c>
      <c r="H6" s="338"/>
      <c r="I6" s="10"/>
    </row>
    <row r="7" spans="2:10" ht="13.5" thickBot="1" x14ac:dyDescent="0.35">
      <c r="B7" s="16" t="s">
        <v>12</v>
      </c>
      <c r="C7" s="73" t="e">
        <f>C5/C6</f>
        <v>#DIV/0!</v>
      </c>
      <c r="D7" s="74" t="e">
        <f t="shared" ref="D7:G7" si="0">D5/D6</f>
        <v>#DIV/0!</v>
      </c>
      <c r="E7" s="74" t="e">
        <f t="shared" si="0"/>
        <v>#DIV/0!</v>
      </c>
      <c r="F7" s="74">
        <f t="shared" si="0"/>
        <v>1340.7687846043166</v>
      </c>
      <c r="G7" s="75">
        <f t="shared" si="0"/>
        <v>1100.0076985413289</v>
      </c>
      <c r="H7" s="340"/>
      <c r="I7" s="10"/>
    </row>
    <row r="8" spans="2:10" ht="13.5" thickBot="1" x14ac:dyDescent="0.35">
      <c r="B8" s="85" t="s">
        <v>13</v>
      </c>
      <c r="C8" s="376"/>
      <c r="D8" s="377"/>
      <c r="E8" s="377"/>
      <c r="F8" s="377"/>
      <c r="G8" s="378"/>
      <c r="H8" s="76"/>
      <c r="I8" s="10"/>
    </row>
    <row r="9" spans="2:10" x14ac:dyDescent="0.3">
      <c r="B9" s="13" t="s">
        <v>14</v>
      </c>
      <c r="C9" s="80"/>
      <c r="D9" s="77" t="e">
        <f>+D5/C5-1</f>
        <v>#DIV/0!</v>
      </c>
      <c r="E9" s="77" t="e">
        <f t="shared" ref="E9:G11" si="1">+E5/D5-1</f>
        <v>#DIV/0!</v>
      </c>
      <c r="F9" s="77" t="e">
        <f t="shared" si="1"/>
        <v>#DIV/0!</v>
      </c>
      <c r="G9" s="78">
        <f t="shared" si="1"/>
        <v>-0.27164652971056502</v>
      </c>
      <c r="H9" s="79" t="s">
        <v>15</v>
      </c>
      <c r="I9" s="10"/>
    </row>
    <row r="10" spans="2:10" x14ac:dyDescent="0.3">
      <c r="B10" s="83" t="s">
        <v>16</v>
      </c>
      <c r="C10" s="81"/>
      <c r="D10" s="48" t="e">
        <f>+D6/C6-1</f>
        <v>#DIV/0!</v>
      </c>
      <c r="E10" s="48" t="e">
        <f t="shared" si="1"/>
        <v>#DIV/0!</v>
      </c>
      <c r="F10" s="48" t="e">
        <f t="shared" si="1"/>
        <v>#DIV/0!</v>
      </c>
      <c r="G10" s="49">
        <f t="shared" si="1"/>
        <v>-0.11223021582733816</v>
      </c>
      <c r="H10" s="50" t="s">
        <v>15</v>
      </c>
      <c r="I10" s="10"/>
    </row>
    <row r="11" spans="2:10" ht="13.5" thickBot="1" x14ac:dyDescent="0.35">
      <c r="B11" s="84" t="str">
        <f>+B7</f>
        <v xml:space="preserve">PMPM COST </v>
      </c>
      <c r="C11" s="82"/>
      <c r="D11" s="51" t="e">
        <f>+D7/C7-1</f>
        <v>#DIV/0!</v>
      </c>
      <c r="E11" s="51" t="e">
        <f t="shared" si="1"/>
        <v>#DIV/0!</v>
      </c>
      <c r="F11" s="51" t="e">
        <f t="shared" si="1"/>
        <v>#DIV/0!</v>
      </c>
      <c r="G11" s="52">
        <f>+G7/F7-1</f>
        <v>-0.17956942973880496</v>
      </c>
      <c r="H11" s="53">
        <f>+G11</f>
        <v>-0.17956942973880496</v>
      </c>
      <c r="I11" s="10"/>
    </row>
    <row r="12" spans="2:10" x14ac:dyDescent="0.3">
      <c r="B12" s="196"/>
      <c r="C12" s="197"/>
      <c r="D12" s="197"/>
      <c r="E12" s="113" t="s">
        <v>85</v>
      </c>
      <c r="F12" s="197"/>
      <c r="G12" s="197"/>
      <c r="H12" s="198"/>
      <c r="I12" s="10"/>
    </row>
    <row r="13" spans="2:10" ht="13.5" thickBot="1" x14ac:dyDescent="0.35">
      <c r="B13" s="321" t="s">
        <v>135</v>
      </c>
      <c r="C13" s="111"/>
      <c r="D13" s="111"/>
      <c r="E13" s="113" t="s">
        <v>86</v>
      </c>
      <c r="F13" s="111"/>
      <c r="G13" s="111"/>
      <c r="H13" s="199"/>
      <c r="I13" s="10"/>
    </row>
    <row r="14" spans="2:10" x14ac:dyDescent="0.3">
      <c r="B14" s="14" t="s">
        <v>10</v>
      </c>
      <c r="C14" s="55"/>
      <c r="D14" s="56"/>
      <c r="E14" s="56"/>
      <c r="F14" s="56">
        <v>5533064.2856999999</v>
      </c>
      <c r="G14" s="57">
        <v>4806954.9400000004</v>
      </c>
      <c r="H14" s="339"/>
      <c r="I14" s="10"/>
    </row>
    <row r="15" spans="2:10" ht="13.5" thickBot="1" x14ac:dyDescent="0.35">
      <c r="B15" s="15" t="s">
        <v>11</v>
      </c>
      <c r="C15" s="70"/>
      <c r="D15" s="71"/>
      <c r="E15" s="71"/>
      <c r="F15" s="71">
        <v>3812</v>
      </c>
      <c r="G15" s="72">
        <v>4474</v>
      </c>
      <c r="H15" s="338"/>
      <c r="I15" s="10"/>
      <c r="J15" s="11"/>
    </row>
    <row r="16" spans="2:10" ht="13.5" thickBot="1" x14ac:dyDescent="0.35">
      <c r="B16" s="16" t="s">
        <v>12</v>
      </c>
      <c r="C16" s="73" t="e">
        <f>C14/C15</f>
        <v>#DIV/0!</v>
      </c>
      <c r="D16" s="74" t="e">
        <f t="shared" ref="D16:G16" si="2">D14/D15</f>
        <v>#DIV/0!</v>
      </c>
      <c r="E16" s="74" t="e">
        <f t="shared" si="2"/>
        <v>#DIV/0!</v>
      </c>
      <c r="F16" s="74">
        <f t="shared" si="2"/>
        <v>1451.4859091552989</v>
      </c>
      <c r="G16" s="75">
        <f t="shared" si="2"/>
        <v>1074.4199687080913</v>
      </c>
      <c r="H16" s="340"/>
      <c r="I16" s="10"/>
    </row>
    <row r="17" spans="2:10" ht="13.5" thickBot="1" x14ac:dyDescent="0.35">
      <c r="B17" s="85" t="s">
        <v>13</v>
      </c>
      <c r="C17" s="376"/>
      <c r="D17" s="377"/>
      <c r="E17" s="377"/>
      <c r="F17" s="377"/>
      <c r="G17" s="378"/>
      <c r="H17" s="76"/>
      <c r="I17" s="10"/>
    </row>
    <row r="18" spans="2:10" x14ac:dyDescent="0.3">
      <c r="B18" s="13" t="s">
        <v>14</v>
      </c>
      <c r="C18" s="80"/>
      <c r="D18" s="77" t="e">
        <f>+D14/C14-1</f>
        <v>#DIV/0!</v>
      </c>
      <c r="E18" s="77" t="e">
        <f t="shared" ref="E18:E20" si="3">+E14/D14-1</f>
        <v>#DIV/0!</v>
      </c>
      <c r="F18" s="77" t="e">
        <f t="shared" ref="F18:F20" si="4">+F14/E14-1</f>
        <v>#DIV/0!</v>
      </c>
      <c r="G18" s="78">
        <f t="shared" ref="G18:G20" si="5">+G14/F14-1</f>
        <v>-0.13123096139992485</v>
      </c>
      <c r="H18" s="79" t="s">
        <v>15</v>
      </c>
      <c r="I18" s="10"/>
    </row>
    <row r="19" spans="2:10" x14ac:dyDescent="0.3">
      <c r="B19" s="83" t="s">
        <v>16</v>
      </c>
      <c r="C19" s="81"/>
      <c r="D19" s="48" t="e">
        <f>+D15/C15-1</f>
        <v>#DIV/0!</v>
      </c>
      <c r="E19" s="48" t="e">
        <f t="shared" si="3"/>
        <v>#DIV/0!</v>
      </c>
      <c r="F19" s="48" t="e">
        <f t="shared" si="4"/>
        <v>#DIV/0!</v>
      </c>
      <c r="G19" s="49">
        <f t="shared" si="5"/>
        <v>0.17366211962224565</v>
      </c>
      <c r="H19" s="50" t="s">
        <v>15</v>
      </c>
      <c r="I19" s="10"/>
    </row>
    <row r="20" spans="2:10" ht="13.5" thickBot="1" x14ac:dyDescent="0.35">
      <c r="B20" s="84" t="str">
        <f>+B16</f>
        <v xml:space="preserve">PMPM COST </v>
      </c>
      <c r="C20" s="82"/>
      <c r="D20" s="51" t="e">
        <f>+D16/C16-1</f>
        <v>#DIV/0!</v>
      </c>
      <c r="E20" s="51" t="e">
        <f t="shared" si="3"/>
        <v>#DIV/0!</v>
      </c>
      <c r="F20" s="51" t="e">
        <f t="shared" si="4"/>
        <v>#DIV/0!</v>
      </c>
      <c r="G20" s="52">
        <f t="shared" si="5"/>
        <v>-0.25977926349050362</v>
      </c>
      <c r="H20" s="53">
        <f>+G20</f>
        <v>-0.25977926349050362</v>
      </c>
      <c r="I20" s="10"/>
    </row>
    <row r="21" spans="2:10" x14ac:dyDescent="0.3">
      <c r="B21" s="196"/>
      <c r="C21" s="197"/>
      <c r="D21" s="197"/>
      <c r="E21" s="197"/>
      <c r="F21" s="197"/>
      <c r="G21" s="197"/>
      <c r="H21" s="198"/>
      <c r="I21" s="10"/>
    </row>
    <row r="22" spans="2:10" ht="13.5" thickBot="1" x14ac:dyDescent="0.35">
      <c r="B22" s="321" t="s">
        <v>136</v>
      </c>
      <c r="C22" s="111"/>
      <c r="D22" s="111"/>
      <c r="E22" s="111"/>
      <c r="F22" s="111"/>
      <c r="G22" s="111"/>
      <c r="H22" s="199"/>
      <c r="I22" s="10"/>
    </row>
    <row r="23" spans="2:10" x14ac:dyDescent="0.3">
      <c r="B23" s="14" t="s">
        <v>10</v>
      </c>
      <c r="C23" s="55"/>
      <c r="D23" s="56"/>
      <c r="E23" s="56"/>
      <c r="F23" s="56">
        <v>64157.134599999998</v>
      </c>
      <c r="G23" s="57">
        <v>65313.490000000005</v>
      </c>
      <c r="H23" s="339"/>
      <c r="I23" s="10"/>
    </row>
    <row r="24" spans="2:10" ht="13.5" thickBot="1" x14ac:dyDescent="0.35">
      <c r="B24" s="15" t="s">
        <v>11</v>
      </c>
      <c r="C24" s="70"/>
      <c r="D24" s="71"/>
      <c r="E24" s="71"/>
      <c r="F24" s="71">
        <v>74</v>
      </c>
      <c r="G24" s="72">
        <v>58</v>
      </c>
      <c r="H24" s="338"/>
      <c r="I24" s="10"/>
      <c r="J24" s="11"/>
    </row>
    <row r="25" spans="2:10" s="98" customFormat="1" ht="13.5" thickBot="1" x14ac:dyDescent="0.35">
      <c r="B25" s="16" t="s">
        <v>12</v>
      </c>
      <c r="C25" s="73" t="e">
        <f>C23/C24</f>
        <v>#DIV/0!</v>
      </c>
      <c r="D25" s="74" t="e">
        <f t="shared" ref="D25:G25" si="6">D23/D24</f>
        <v>#DIV/0!</v>
      </c>
      <c r="E25" s="74" t="e">
        <f t="shared" si="6"/>
        <v>#DIV/0!</v>
      </c>
      <c r="F25" s="74">
        <f t="shared" si="6"/>
        <v>866.98830540540541</v>
      </c>
      <c r="G25" s="75">
        <f t="shared" si="6"/>
        <v>1126.0946551724139</v>
      </c>
      <c r="H25" s="340"/>
      <c r="I25" s="97"/>
    </row>
    <row r="26" spans="2:10" ht="13.5" thickBot="1" x14ac:dyDescent="0.35">
      <c r="B26" s="85" t="s">
        <v>13</v>
      </c>
      <c r="C26" s="376"/>
      <c r="D26" s="377"/>
      <c r="E26" s="377"/>
      <c r="F26" s="377"/>
      <c r="G26" s="378"/>
      <c r="H26" s="76"/>
    </row>
    <row r="27" spans="2:10" x14ac:dyDescent="0.3">
      <c r="B27" s="13" t="s">
        <v>14</v>
      </c>
      <c r="C27" s="80"/>
      <c r="D27" s="77" t="e">
        <f>+D23/C23-1</f>
        <v>#DIV/0!</v>
      </c>
      <c r="E27" s="77" t="e">
        <f t="shared" ref="E27:E29" si="7">+E23/D23-1</f>
        <v>#DIV/0!</v>
      </c>
      <c r="F27" s="77" t="e">
        <f t="shared" ref="F27:F29" si="8">+F23/E23-1</f>
        <v>#DIV/0!</v>
      </c>
      <c r="G27" s="78">
        <f t="shared" ref="G27:G29" si="9">+G23/F23-1</f>
        <v>1.802380058288966E-2</v>
      </c>
      <c r="H27" s="79" t="s">
        <v>15</v>
      </c>
      <c r="J27" s="11"/>
    </row>
    <row r="28" spans="2:10" x14ac:dyDescent="0.3">
      <c r="B28" s="83" t="s">
        <v>16</v>
      </c>
      <c r="C28" s="81"/>
      <c r="D28" s="48" t="e">
        <f>+D24/C24-1</f>
        <v>#DIV/0!</v>
      </c>
      <c r="E28" s="48" t="e">
        <f t="shared" si="7"/>
        <v>#DIV/0!</v>
      </c>
      <c r="F28" s="48" t="e">
        <f t="shared" si="8"/>
        <v>#DIV/0!</v>
      </c>
      <c r="G28" s="49">
        <f t="shared" si="9"/>
        <v>-0.21621621621621623</v>
      </c>
      <c r="H28" s="50" t="s">
        <v>15</v>
      </c>
    </row>
    <row r="29" spans="2:10" ht="13.5" thickBot="1" x14ac:dyDescent="0.35">
      <c r="B29" s="84" t="str">
        <f>+B25</f>
        <v xml:space="preserve">PMPM COST </v>
      </c>
      <c r="C29" s="82"/>
      <c r="D29" s="51" t="e">
        <f>+D25/C25-1</f>
        <v>#DIV/0!</v>
      </c>
      <c r="E29" s="51" t="e">
        <f t="shared" si="7"/>
        <v>#DIV/0!</v>
      </c>
      <c r="F29" s="51" t="e">
        <f t="shared" si="8"/>
        <v>#DIV/0!</v>
      </c>
      <c r="G29" s="52">
        <f t="shared" si="9"/>
        <v>0.29885795246782476</v>
      </c>
      <c r="H29" s="53">
        <f>+G29</f>
        <v>0.29885795246782476</v>
      </c>
    </row>
    <row r="30" spans="2:10" x14ac:dyDescent="0.3">
      <c r="B30" s="196"/>
      <c r="C30" s="197"/>
      <c r="D30" s="197"/>
      <c r="E30" s="197"/>
      <c r="F30" s="197"/>
      <c r="G30" s="197"/>
      <c r="H30" s="198"/>
    </row>
    <row r="31" spans="2:10" ht="26.5" thickBot="1" x14ac:dyDescent="0.35">
      <c r="B31" s="321" t="s">
        <v>146</v>
      </c>
      <c r="C31" s="111"/>
      <c r="D31" s="111"/>
      <c r="E31" s="111"/>
      <c r="F31" s="111"/>
      <c r="G31" s="111"/>
      <c r="H31" s="199"/>
    </row>
    <row r="32" spans="2:10" x14ac:dyDescent="0.3">
      <c r="B32" s="14" t="s">
        <v>10</v>
      </c>
      <c r="C32" s="55"/>
      <c r="D32" s="56"/>
      <c r="E32" s="56"/>
      <c r="F32" s="56"/>
      <c r="G32" s="57"/>
      <c r="H32" s="339"/>
    </row>
    <row r="33" spans="2:11" ht="13.5" thickBot="1" x14ac:dyDescent="0.35">
      <c r="B33" s="15" t="s">
        <v>11</v>
      </c>
      <c r="C33" s="70"/>
      <c r="D33" s="71"/>
      <c r="E33" s="71"/>
      <c r="F33" s="71"/>
      <c r="G33" s="72"/>
      <c r="H33" s="338"/>
    </row>
    <row r="34" spans="2:11" ht="13.5" thickBot="1" x14ac:dyDescent="0.35">
      <c r="B34" s="16" t="s">
        <v>12</v>
      </c>
      <c r="C34" s="73" t="e">
        <f>C32/C33</f>
        <v>#DIV/0!</v>
      </c>
      <c r="D34" s="74" t="e">
        <f t="shared" ref="D34:G34" si="10">D32/D33</f>
        <v>#DIV/0!</v>
      </c>
      <c r="E34" s="74" t="e">
        <f t="shared" si="10"/>
        <v>#DIV/0!</v>
      </c>
      <c r="F34" s="74" t="e">
        <f t="shared" si="10"/>
        <v>#DIV/0!</v>
      </c>
      <c r="G34" s="75" t="e">
        <f t="shared" si="10"/>
        <v>#DIV/0!</v>
      </c>
      <c r="H34" s="340"/>
    </row>
    <row r="35" spans="2:11" ht="13.5" thickBot="1" x14ac:dyDescent="0.35">
      <c r="B35" s="85" t="s">
        <v>13</v>
      </c>
      <c r="C35" s="376"/>
      <c r="D35" s="377"/>
      <c r="E35" s="377"/>
      <c r="F35" s="377"/>
      <c r="G35" s="378"/>
      <c r="H35" s="76"/>
    </row>
    <row r="36" spans="2:11" x14ac:dyDescent="0.3">
      <c r="B36" s="13" t="s">
        <v>14</v>
      </c>
      <c r="C36" s="80"/>
      <c r="D36" s="77" t="e">
        <f>+D32/C32-1</f>
        <v>#DIV/0!</v>
      </c>
      <c r="E36" s="77" t="e">
        <f t="shared" ref="E36:E38" si="11">+E32/D32-1</f>
        <v>#DIV/0!</v>
      </c>
      <c r="F36" s="77" t="e">
        <f t="shared" ref="F36:F38" si="12">+F32/E32-1</f>
        <v>#DIV/0!</v>
      </c>
      <c r="G36" s="78" t="e">
        <f t="shared" ref="G36:G38" si="13">+G32/F32-1</f>
        <v>#DIV/0!</v>
      </c>
      <c r="H36" s="79" t="s">
        <v>15</v>
      </c>
    </row>
    <row r="37" spans="2:11" x14ac:dyDescent="0.3">
      <c r="B37" s="83" t="s">
        <v>16</v>
      </c>
      <c r="C37" s="81"/>
      <c r="D37" s="48" t="e">
        <f>+D33/C33-1</f>
        <v>#DIV/0!</v>
      </c>
      <c r="E37" s="48" t="e">
        <f t="shared" si="11"/>
        <v>#DIV/0!</v>
      </c>
      <c r="F37" s="48" t="e">
        <f t="shared" si="12"/>
        <v>#DIV/0!</v>
      </c>
      <c r="G37" s="49" t="e">
        <f t="shared" si="13"/>
        <v>#DIV/0!</v>
      </c>
      <c r="H37" s="50" t="s">
        <v>15</v>
      </c>
    </row>
    <row r="38" spans="2:11" ht="13.5" thickBot="1" x14ac:dyDescent="0.35">
      <c r="B38" s="84" t="str">
        <f>+B34</f>
        <v xml:space="preserve">PMPM COST </v>
      </c>
      <c r="C38" s="82"/>
      <c r="D38" s="51" t="e">
        <f>+D34/C34-1</f>
        <v>#DIV/0!</v>
      </c>
      <c r="E38" s="51" t="e">
        <f t="shared" si="11"/>
        <v>#DIV/0!</v>
      </c>
      <c r="F38" s="51" t="e">
        <f t="shared" si="12"/>
        <v>#DIV/0!</v>
      </c>
      <c r="G38" s="52" t="e">
        <f t="shared" si="13"/>
        <v>#DIV/0!</v>
      </c>
      <c r="H38" s="53" t="e">
        <f>+G38</f>
        <v>#DIV/0!</v>
      </c>
    </row>
    <row r="39" spans="2:11" ht="13.5" thickBot="1" x14ac:dyDescent="0.35">
      <c r="D39" s="54" t="s">
        <v>103</v>
      </c>
      <c r="J39" s="33"/>
    </row>
    <row r="40" spans="2:11" ht="13.5" thickBot="1" x14ac:dyDescent="0.35">
      <c r="C40" s="322" t="str">
        <f>B4</f>
        <v>Medicaid Adults</v>
      </c>
      <c r="D40" s="323"/>
      <c r="J40" s="33"/>
    </row>
    <row r="41" spans="2:11" ht="13.5" thickBot="1" x14ac:dyDescent="0.35">
      <c r="C41" s="322" t="str">
        <f>B13</f>
        <v>Expansion Adults</v>
      </c>
      <c r="D41" s="323"/>
      <c r="J41" s="33"/>
    </row>
    <row r="42" spans="2:11" ht="13.5" thickBot="1" x14ac:dyDescent="0.35">
      <c r="C42" s="322" t="str">
        <f>B22</f>
        <v>Adolescents</v>
      </c>
      <c r="D42" s="323"/>
      <c r="G42" s="381" t="s">
        <v>106</v>
      </c>
      <c r="H42" s="382"/>
      <c r="I42" s="382"/>
      <c r="J42" s="382"/>
      <c r="K42" s="383"/>
    </row>
    <row r="43" spans="2:11" ht="13.5" thickBot="1" x14ac:dyDescent="0.35">
      <c r="B43" s="11" t="s">
        <v>91</v>
      </c>
      <c r="C43" s="10" t="s">
        <v>144</v>
      </c>
      <c r="D43" s="323"/>
      <c r="E43" s="10"/>
      <c r="G43" s="384" t="s">
        <v>107</v>
      </c>
      <c r="H43" s="385"/>
      <c r="I43" s="386"/>
      <c r="J43" s="384" t="s">
        <v>108</v>
      </c>
      <c r="K43" s="386"/>
    </row>
    <row r="44" spans="2:11" ht="65.5" thickBot="1" x14ac:dyDescent="0.35">
      <c r="B44" s="103" t="s">
        <v>109</v>
      </c>
      <c r="C44" s="182" t="s">
        <v>92</v>
      </c>
      <c r="D44" s="211" t="s">
        <v>102</v>
      </c>
      <c r="E44" s="100" t="s">
        <v>127</v>
      </c>
      <c r="F44" s="103" t="s">
        <v>81</v>
      </c>
      <c r="G44" s="101" t="str">
        <f>B4</f>
        <v>Medicaid Adults</v>
      </c>
      <c r="H44" s="182" t="str">
        <f>B13</f>
        <v>Expansion Adults</v>
      </c>
      <c r="I44" s="211" t="str">
        <f>B22</f>
        <v>Adolescents</v>
      </c>
      <c r="J44" s="213" t="s">
        <v>88</v>
      </c>
      <c r="K44" s="217" t="s">
        <v>89</v>
      </c>
    </row>
    <row r="45" spans="2:11" ht="13.5" thickBot="1" x14ac:dyDescent="0.35">
      <c r="B45" s="178"/>
      <c r="C45" s="117"/>
      <c r="D45" s="117"/>
      <c r="E45" s="184"/>
      <c r="F45" s="147"/>
      <c r="G45" s="102"/>
      <c r="H45" s="11"/>
      <c r="I45" s="11"/>
      <c r="J45" s="102"/>
      <c r="K45" s="218"/>
    </row>
    <row r="46" spans="2:11" x14ac:dyDescent="0.3">
      <c r="B46" s="179" t="s">
        <v>133</v>
      </c>
      <c r="C46" s="314"/>
      <c r="D46" s="261">
        <f>$D$40*E46</f>
        <v>0</v>
      </c>
      <c r="E46" s="316"/>
      <c r="F46" s="279" t="e">
        <f>(C46+D46)/E46</f>
        <v>#DIV/0!</v>
      </c>
      <c r="G46" s="105"/>
      <c r="H46" s="283"/>
      <c r="I46" s="285"/>
      <c r="J46" s="214"/>
      <c r="K46" s="219"/>
    </row>
    <row r="47" spans="2:11" x14ac:dyDescent="0.3">
      <c r="B47" s="180" t="s">
        <v>131</v>
      </c>
      <c r="C47" s="315"/>
      <c r="D47" s="260">
        <f>$D$41*E47</f>
        <v>0</v>
      </c>
      <c r="E47" s="317"/>
      <c r="F47" s="280" t="e">
        <f t="shared" ref="F47:F58" si="14">(C47+D47)/E47</f>
        <v>#DIV/0!</v>
      </c>
      <c r="G47" s="106"/>
      <c r="H47" s="282"/>
      <c r="I47" s="286"/>
      <c r="J47" s="215"/>
      <c r="K47" s="220"/>
    </row>
    <row r="48" spans="2:11" x14ac:dyDescent="0.3">
      <c r="B48" s="180" t="s">
        <v>132</v>
      </c>
      <c r="C48" s="315"/>
      <c r="D48" s="260">
        <f>$D$42*E48</f>
        <v>0</v>
      </c>
      <c r="E48" s="317"/>
      <c r="F48" s="280" t="e">
        <f t="shared" si="14"/>
        <v>#DIV/0!</v>
      </c>
      <c r="G48" s="106"/>
      <c r="H48" s="282"/>
      <c r="I48" s="286"/>
      <c r="J48" s="215"/>
      <c r="K48" s="220"/>
    </row>
    <row r="49" spans="2:11" x14ac:dyDescent="0.3">
      <c r="B49" s="180" t="s">
        <v>146</v>
      </c>
      <c r="C49" s="262"/>
      <c r="D49" s="260"/>
      <c r="E49" s="185"/>
      <c r="F49" s="280" t="e">
        <f t="shared" si="14"/>
        <v>#DIV/0!</v>
      </c>
      <c r="G49" s="106"/>
      <c r="H49" s="282"/>
      <c r="I49" s="286"/>
      <c r="J49" s="215"/>
      <c r="K49" s="220"/>
    </row>
    <row r="50" spans="2:11" x14ac:dyDescent="0.3">
      <c r="B50" s="180" t="s">
        <v>100</v>
      </c>
      <c r="C50" s="262"/>
      <c r="D50" s="260"/>
      <c r="E50" s="185"/>
      <c r="F50" s="280" t="e">
        <f t="shared" si="14"/>
        <v>#DIV/0!</v>
      </c>
      <c r="G50" s="106"/>
      <c r="H50" s="282"/>
      <c r="I50" s="286"/>
      <c r="J50" s="215"/>
      <c r="K50" s="220"/>
    </row>
    <row r="51" spans="2:11" x14ac:dyDescent="0.3">
      <c r="B51" s="180" t="s">
        <v>101</v>
      </c>
      <c r="C51" s="262"/>
      <c r="D51" s="260"/>
      <c r="E51" s="185"/>
      <c r="F51" s="280" t="e">
        <f t="shared" si="14"/>
        <v>#DIV/0!</v>
      </c>
      <c r="G51" s="106"/>
      <c r="H51" s="282"/>
      <c r="I51" s="286"/>
      <c r="J51" s="215"/>
      <c r="K51" s="220"/>
    </row>
    <row r="52" spans="2:11" x14ac:dyDescent="0.3">
      <c r="B52" s="180" t="s">
        <v>77</v>
      </c>
      <c r="C52" s="262"/>
      <c r="D52" s="260"/>
      <c r="E52" s="185"/>
      <c r="F52" s="280" t="e">
        <f t="shared" si="14"/>
        <v>#DIV/0!</v>
      </c>
      <c r="G52" s="106"/>
      <c r="H52" s="282"/>
      <c r="I52" s="286"/>
      <c r="J52" s="215"/>
      <c r="K52" s="220"/>
    </row>
    <row r="53" spans="2:11" x14ac:dyDescent="0.3">
      <c r="B53" s="180" t="s">
        <v>78</v>
      </c>
      <c r="C53" s="262"/>
      <c r="D53" s="260"/>
      <c r="E53" s="185"/>
      <c r="F53" s="280" t="e">
        <f t="shared" si="14"/>
        <v>#DIV/0!</v>
      </c>
      <c r="G53" s="106"/>
      <c r="H53" s="282"/>
      <c r="I53" s="286"/>
      <c r="J53" s="215"/>
      <c r="K53" s="220"/>
    </row>
    <row r="54" spans="2:11" x14ac:dyDescent="0.3">
      <c r="B54" s="180" t="s">
        <v>79</v>
      </c>
      <c r="C54" s="262"/>
      <c r="D54" s="260"/>
      <c r="E54" s="185"/>
      <c r="F54" s="280" t="e">
        <f t="shared" si="14"/>
        <v>#DIV/0!</v>
      </c>
      <c r="G54" s="106"/>
      <c r="H54" s="282"/>
      <c r="I54" s="286"/>
      <c r="J54" s="215"/>
      <c r="K54" s="220"/>
    </row>
    <row r="55" spans="2:11" x14ac:dyDescent="0.3">
      <c r="B55" s="180" t="s">
        <v>97</v>
      </c>
      <c r="C55" s="263"/>
      <c r="D55" s="260"/>
      <c r="E55" s="250"/>
      <c r="F55" s="280" t="e">
        <f t="shared" si="14"/>
        <v>#DIV/0!</v>
      </c>
      <c r="G55" s="106"/>
      <c r="H55" s="282"/>
      <c r="I55" s="286"/>
      <c r="J55" s="215"/>
      <c r="K55" s="220"/>
    </row>
    <row r="56" spans="2:11" x14ac:dyDescent="0.3">
      <c r="B56" s="180" t="s">
        <v>98</v>
      </c>
      <c r="C56" s="263"/>
      <c r="D56" s="260"/>
      <c r="E56" s="250"/>
      <c r="F56" s="280" t="e">
        <f t="shared" si="14"/>
        <v>#DIV/0!</v>
      </c>
      <c r="G56" s="106"/>
      <c r="H56" s="282"/>
      <c r="I56" s="286"/>
      <c r="J56" s="215"/>
      <c r="K56" s="220"/>
    </row>
    <row r="57" spans="2:11" x14ac:dyDescent="0.3">
      <c r="B57" s="180" t="s">
        <v>99</v>
      </c>
      <c r="C57" s="263"/>
      <c r="D57" s="260"/>
      <c r="E57" s="250"/>
      <c r="F57" s="280" t="e">
        <f t="shared" si="14"/>
        <v>#DIV/0!</v>
      </c>
      <c r="G57" s="106"/>
      <c r="H57" s="282"/>
      <c r="I57" s="286"/>
      <c r="J57" s="215"/>
      <c r="K57" s="220"/>
    </row>
    <row r="58" spans="2:11" ht="13.5" thickBot="1" x14ac:dyDescent="0.35">
      <c r="B58" s="181" t="s">
        <v>80</v>
      </c>
      <c r="C58" s="264"/>
      <c r="D58" s="265"/>
      <c r="E58" s="186"/>
      <c r="F58" s="281" t="e">
        <f t="shared" si="14"/>
        <v>#DIV/0!</v>
      </c>
      <c r="G58" s="107"/>
      <c r="H58" s="284"/>
      <c r="I58" s="287"/>
      <c r="J58" s="216"/>
      <c r="K58" s="221"/>
    </row>
    <row r="59" spans="2:11" ht="13.5" thickBot="1" x14ac:dyDescent="0.35">
      <c r="F59" s="104"/>
      <c r="G59" s="278" t="s">
        <v>105</v>
      </c>
      <c r="H59" s="99"/>
      <c r="I59" s="99"/>
      <c r="J59" s="212"/>
      <c r="K59" s="222"/>
    </row>
    <row r="60" spans="2:11" ht="13.5" thickBot="1" x14ac:dyDescent="0.35">
      <c r="B60" s="183" t="s">
        <v>82</v>
      </c>
      <c r="C60" s="379"/>
      <c r="D60" s="380"/>
      <c r="E60" s="380"/>
      <c r="F60" s="380"/>
      <c r="G60" s="108">
        <f>SUMIF(G46:G58,"Included",F46:F58)</f>
        <v>0</v>
      </c>
      <c r="H60" s="109">
        <f>SUMIF(H46:H58,"Included",F46:F58)</f>
        <v>0</v>
      </c>
      <c r="I60" s="110">
        <f>SUMIF(I46:I58,"Included",F46:F58)</f>
        <v>0</v>
      </c>
      <c r="J60" s="233">
        <f>SUMIF(J46:J58,"Included",F46:F58)</f>
        <v>0</v>
      </c>
      <c r="K60" s="223">
        <f>SUMIF(K46:K58,"Included",F46:F58)</f>
        <v>0</v>
      </c>
    </row>
  </sheetData>
  <mergeCells count="8">
    <mergeCell ref="C17:G17"/>
    <mergeCell ref="C8:G8"/>
    <mergeCell ref="C60:F60"/>
    <mergeCell ref="G42:K42"/>
    <mergeCell ref="G43:I43"/>
    <mergeCell ref="J43:K43"/>
    <mergeCell ref="C26:G26"/>
    <mergeCell ref="C35:G35"/>
  </mergeCells>
  <dataValidations count="2">
    <dataValidation type="list" allowBlank="1" showInputMessage="1" showErrorMessage="1" sqref="E3">
      <formula1>$E$12:$E$13</formula1>
    </dataValidation>
    <dataValidation type="list" allowBlank="1" showInputMessage="1" showErrorMessage="1" sqref="G46:K58">
      <formula1>$G$59:$H$59</formula1>
    </dataValidation>
  </dataValidations>
  <pageMargins left="0.7" right="0.7" top="0.75" bottom="0.75" header="0.3" footer="0.3"/>
  <pageSetup orientation="portrait" r:id="rId1"/>
  <ignoredErrors>
    <ignoredError sqref="C8:K10 C59:K59 F46 F47 F48 K48 K46 K47 C45:K45 D44:K44 F43:K43 F42:K42 C49:C58 E50:K58 C17:K19 C14:E14 I14:K14 C15:E15 I15:K15 C26:K28 C23:E23 I23:K23 C24:E24 I24:K24 C7:G7 I7:K7 C16:G16 I16:K16 C25:G25 I25:K25 C12:K13 C11:F11 I11:K11 F49:K49 C21:K22 C20:G20 I20:K20 F39:K39 C29:G29 I29:K2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2"/>
  <sheetViews>
    <sheetView tabSelected="1" zoomScaleNormal="100" workbookViewId="0">
      <selection activeCell="B37" sqref="B37"/>
    </sheetView>
  </sheetViews>
  <sheetFormatPr defaultColWidth="9.1796875" defaultRowHeight="13" x14ac:dyDescent="0.3"/>
  <cols>
    <col min="1" max="1" width="9.1796875" style="10"/>
    <col min="2" max="2" width="40" style="10" bestFit="1" customWidth="1"/>
    <col min="3" max="6" width="10.7265625" style="33" customWidth="1"/>
    <col min="7" max="7" width="12.26953125" style="33" bestFit="1" customWidth="1"/>
    <col min="8" max="12" width="13.453125" style="33" bestFit="1" customWidth="1"/>
    <col min="13" max="13" width="9.1796875" style="10"/>
    <col min="14" max="14" width="11.26953125" style="10" customWidth="1"/>
    <col min="15" max="16384" width="9.1796875" style="10"/>
  </cols>
  <sheetData>
    <row r="1" spans="2:14" ht="13.5" thickBot="1" x14ac:dyDescent="0.35"/>
    <row r="2" spans="2:14" ht="13.5" thickBot="1" x14ac:dyDescent="0.35">
      <c r="B2" s="18"/>
      <c r="C2" s="111"/>
      <c r="D2" s="234"/>
      <c r="E2" s="297" t="s">
        <v>129</v>
      </c>
      <c r="F2" s="318">
        <v>4.9000000000000002E-2</v>
      </c>
      <c r="H2" s="29"/>
      <c r="I2" s="29"/>
      <c r="J2" s="29"/>
      <c r="K2" s="29"/>
      <c r="L2" s="5"/>
    </row>
    <row r="3" spans="2:14" ht="13.5" thickBot="1" x14ac:dyDescent="0.35">
      <c r="B3" s="19" t="s">
        <v>19</v>
      </c>
      <c r="C3" s="39" t="s">
        <v>20</v>
      </c>
      <c r="D3" s="39" t="s">
        <v>21</v>
      </c>
      <c r="E3" s="30" t="s">
        <v>22</v>
      </c>
      <c r="F3" s="40" t="s">
        <v>20</v>
      </c>
      <c r="G3" s="387" t="s">
        <v>1</v>
      </c>
      <c r="H3" s="388"/>
      <c r="I3" s="388"/>
      <c r="J3" s="388"/>
      <c r="K3" s="389"/>
      <c r="L3" s="40" t="s">
        <v>2</v>
      </c>
    </row>
    <row r="4" spans="2:14" ht="13.5" thickBot="1" x14ac:dyDescent="0.35">
      <c r="B4" s="20" t="s">
        <v>23</v>
      </c>
      <c r="C4" s="41" t="s">
        <v>24</v>
      </c>
      <c r="D4" s="41" t="s">
        <v>25</v>
      </c>
      <c r="E4" s="42" t="s">
        <v>26</v>
      </c>
      <c r="F4" s="43" t="s">
        <v>27</v>
      </c>
      <c r="G4" s="86" t="s">
        <v>3</v>
      </c>
      <c r="H4" s="87" t="s">
        <v>4</v>
      </c>
      <c r="I4" s="87" t="s">
        <v>5</v>
      </c>
      <c r="J4" s="87" t="s">
        <v>6</v>
      </c>
      <c r="K4" s="88" t="s">
        <v>7</v>
      </c>
      <c r="L4" s="43" t="s">
        <v>28</v>
      </c>
    </row>
    <row r="5" spans="2:14" x14ac:dyDescent="0.3">
      <c r="B5" s="21"/>
      <c r="C5" s="30"/>
      <c r="D5" s="30"/>
      <c r="E5" s="44"/>
      <c r="F5" s="30"/>
      <c r="G5" s="44" t="s">
        <v>137</v>
      </c>
      <c r="H5" s="44" t="s">
        <v>138</v>
      </c>
      <c r="I5" s="44" t="s">
        <v>139</v>
      </c>
      <c r="J5" s="44" t="s">
        <v>140</v>
      </c>
      <c r="K5" s="44" t="s">
        <v>141</v>
      </c>
      <c r="L5" s="30"/>
    </row>
    <row r="6" spans="2:14" ht="15.75" customHeight="1" thickBot="1" x14ac:dyDescent="0.35">
      <c r="B6" s="299" t="str">
        <f>'SUD Historical'!B4</f>
        <v>Medicaid Adults</v>
      </c>
      <c r="C6" s="5"/>
      <c r="D6" s="5"/>
      <c r="E6" s="5"/>
      <c r="F6" s="5"/>
      <c r="G6" s="5"/>
      <c r="H6" s="5"/>
      <c r="I6" s="10"/>
      <c r="J6" s="10"/>
      <c r="K6" s="10"/>
      <c r="L6" s="10"/>
    </row>
    <row r="7" spans="2:14" x14ac:dyDescent="0.3">
      <c r="B7" s="130" t="s">
        <v>29</v>
      </c>
      <c r="C7" s="150" t="s">
        <v>30</v>
      </c>
      <c r="D7" s="153" t="s">
        <v>30</v>
      </c>
      <c r="E7" s="267">
        <f>'SUD Historical'!G6</f>
        <v>617</v>
      </c>
      <c r="F7" s="155" t="str">
        <f>C7</f>
        <v>n.a.</v>
      </c>
      <c r="G7" s="187">
        <f>'SUD Caseloads'!D4</f>
        <v>695</v>
      </c>
      <c r="H7" s="188">
        <f>'SUD Caseloads'!E4</f>
        <v>617</v>
      </c>
      <c r="I7" s="188">
        <f>'SUD Caseloads'!F4</f>
        <v>682</v>
      </c>
      <c r="J7" s="188">
        <f>'SUD Caseloads'!G4</f>
        <v>682</v>
      </c>
      <c r="K7" s="188">
        <f>'SUD Caseloads'!H4</f>
        <v>682</v>
      </c>
      <c r="L7" s="142"/>
    </row>
    <row r="8" spans="2:14" x14ac:dyDescent="0.3">
      <c r="B8" s="131" t="s">
        <v>31</v>
      </c>
      <c r="C8" s="303" t="s">
        <v>30</v>
      </c>
      <c r="D8" s="270">
        <v>24</v>
      </c>
      <c r="E8" s="268">
        <f>'SUD Historical'!F7</f>
        <v>1340.7687846043166</v>
      </c>
      <c r="F8" s="156">
        <v>8.3000000000000004E-2</v>
      </c>
      <c r="G8" s="347">
        <v>961</v>
      </c>
      <c r="H8" s="348">
        <v>1004</v>
      </c>
      <c r="I8" s="325">
        <f>ROUND((1+$F8)^(D8/12)*E8,2)</f>
        <v>1572.57</v>
      </c>
      <c r="J8" s="325">
        <f>ROUND((1+$F8)*I8,2)</f>
        <v>1703.09</v>
      </c>
      <c r="K8" s="326">
        <f t="shared" ref="K8" si="0">ROUND((1+$F8)*J8,2)</f>
        <v>1844.45</v>
      </c>
      <c r="L8" s="143"/>
      <c r="N8" s="349"/>
    </row>
    <row r="9" spans="2:14" x14ac:dyDescent="0.3">
      <c r="B9" s="328" t="s">
        <v>145</v>
      </c>
      <c r="C9" s="303"/>
      <c r="D9" s="350"/>
      <c r="E9" s="351"/>
      <c r="F9" s="329"/>
      <c r="G9" s="352"/>
      <c r="H9" s="352"/>
      <c r="I9" s="341">
        <v>0</v>
      </c>
      <c r="J9" s="341">
        <v>0</v>
      </c>
      <c r="K9" s="353">
        <v>6.621817130178723</v>
      </c>
      <c r="L9" s="324"/>
      <c r="N9" s="349"/>
    </row>
    <row r="10" spans="2:14" ht="13.5" thickBot="1" x14ac:dyDescent="0.35">
      <c r="B10" s="132" t="s">
        <v>32</v>
      </c>
      <c r="C10" s="152"/>
      <c r="D10" s="139"/>
      <c r="E10" s="269"/>
      <c r="F10" s="139"/>
      <c r="G10" s="331">
        <f t="shared" ref="G10:J10" si="1">+G7*SUM(G8:G9)</f>
        <v>667895</v>
      </c>
      <c r="H10" s="331">
        <f t="shared" si="1"/>
        <v>619468</v>
      </c>
      <c r="I10" s="331">
        <f t="shared" si="1"/>
        <v>1072492.74</v>
      </c>
      <c r="J10" s="331">
        <f t="shared" si="1"/>
        <v>1161507.3799999999</v>
      </c>
      <c r="K10" s="331">
        <f>+K7*SUM(K8:K9)</f>
        <v>1262430.9792827819</v>
      </c>
      <c r="L10" s="154">
        <f>SUM(G10:K10)</f>
        <v>4783794.0992827825</v>
      </c>
    </row>
    <row r="11" spans="2:14" x14ac:dyDescent="0.3">
      <c r="B11" s="200"/>
      <c r="C11" s="300">
        <f>'SUD Historical'!H11</f>
        <v>-0.17956942973880496</v>
      </c>
      <c r="D11" s="5"/>
      <c r="E11" s="266" t="e">
        <f>ROUND('SUD Historical'!G7*(1+C8)^(D8/12),2)</f>
        <v>#VALUE!</v>
      </c>
      <c r="F11" s="5"/>
      <c r="G11" s="342"/>
      <c r="H11" s="342"/>
      <c r="I11" s="342"/>
      <c r="J11" s="342"/>
      <c r="K11" s="342"/>
      <c r="L11" s="32"/>
    </row>
    <row r="12" spans="2:14" ht="13.5" thickBot="1" x14ac:dyDescent="0.35">
      <c r="B12" s="299" t="str">
        <f>'SUD Historical'!B13</f>
        <v>Expansion Adults</v>
      </c>
      <c r="C12" s="301" t="s">
        <v>30</v>
      </c>
      <c r="D12" s="4"/>
      <c r="E12" s="266">
        <f>'SUD Historical'!G60</f>
        <v>0</v>
      </c>
      <c r="F12" s="5"/>
      <c r="G12" s="5"/>
      <c r="H12" s="5"/>
      <c r="I12" s="5"/>
      <c r="J12" s="5"/>
      <c r="K12" s="5"/>
      <c r="L12" s="5"/>
    </row>
    <row r="13" spans="2:14" x14ac:dyDescent="0.3">
      <c r="B13" s="130" t="s">
        <v>29</v>
      </c>
      <c r="C13" s="150" t="s">
        <v>30</v>
      </c>
      <c r="D13" s="153" t="s">
        <v>30</v>
      </c>
      <c r="E13" s="267">
        <f>'SUD Historical'!G15</f>
        <v>4474</v>
      </c>
      <c r="F13" s="155" t="str">
        <f>C13</f>
        <v>n.a.</v>
      </c>
      <c r="G13" s="187">
        <f>'SUD Caseloads'!D5</f>
        <v>3812</v>
      </c>
      <c r="H13" s="187">
        <f>'SUD Caseloads'!E5</f>
        <v>4474</v>
      </c>
      <c r="I13" s="187">
        <f>'SUD Caseloads'!F5</f>
        <v>4918</v>
      </c>
      <c r="J13" s="187">
        <f>'SUD Caseloads'!G5</f>
        <v>4918</v>
      </c>
      <c r="K13" s="187">
        <f>'SUD Caseloads'!H5</f>
        <v>4918</v>
      </c>
      <c r="L13" s="142"/>
    </row>
    <row r="14" spans="2:14" x14ac:dyDescent="0.3">
      <c r="B14" s="131" t="s">
        <v>31</v>
      </c>
      <c r="C14" s="303" t="s">
        <v>30</v>
      </c>
      <c r="D14" s="270">
        <v>24</v>
      </c>
      <c r="E14" s="268">
        <f>'SUD Historical'!F16</f>
        <v>1451.4859091552989</v>
      </c>
      <c r="F14" s="156">
        <v>6.4000000000000001E-2</v>
      </c>
      <c r="G14" s="347">
        <v>608</v>
      </c>
      <c r="H14" s="348">
        <v>636</v>
      </c>
      <c r="I14" s="325">
        <f>ROUND((1+$F14)^(D14/12)*E14,2)</f>
        <v>1643.22</v>
      </c>
      <c r="J14" s="325">
        <f t="shared" ref="J14:K14" si="2">ROUND((1+$F14)*I14,2)</f>
        <v>1748.39</v>
      </c>
      <c r="K14" s="326">
        <f t="shared" si="2"/>
        <v>1860.29</v>
      </c>
      <c r="L14" s="143"/>
    </row>
    <row r="15" spans="2:14" x14ac:dyDescent="0.3">
      <c r="B15" s="328" t="s">
        <v>145</v>
      </c>
      <c r="C15" s="303"/>
      <c r="D15" s="350"/>
      <c r="E15" s="351"/>
      <c r="F15" s="329"/>
      <c r="G15" s="352"/>
      <c r="H15" s="352"/>
      <c r="I15" s="341">
        <v>0</v>
      </c>
      <c r="J15" s="341">
        <v>0</v>
      </c>
      <c r="K15" s="353">
        <v>6.1110720150129021</v>
      </c>
      <c r="L15" s="324"/>
    </row>
    <row r="16" spans="2:14" ht="13.5" thickBot="1" x14ac:dyDescent="0.35">
      <c r="B16" s="132" t="s">
        <v>32</v>
      </c>
      <c r="C16" s="152"/>
      <c r="D16" s="139"/>
      <c r="E16" s="269"/>
      <c r="F16" s="139"/>
      <c r="G16" s="331">
        <f t="shared" ref="G16" si="3">+G13*SUM(G14:G15)</f>
        <v>2317696</v>
      </c>
      <c r="H16" s="331">
        <f t="shared" ref="H16" si="4">+H13*SUM(H14:H15)</f>
        <v>2845464</v>
      </c>
      <c r="I16" s="331">
        <f t="shared" ref="I16" si="5">+I13*SUM(I14:I15)</f>
        <v>8081355.96</v>
      </c>
      <c r="J16" s="331">
        <f t="shared" ref="J16" si="6">+J13*SUM(J14:J15)</f>
        <v>8598582.0200000014</v>
      </c>
      <c r="K16" s="331">
        <f>+K13*SUM(K14:K15)</f>
        <v>9178960.4721698333</v>
      </c>
      <c r="L16" s="154">
        <f>SUM(G16:K16)</f>
        <v>31022058.452169836</v>
      </c>
    </row>
    <row r="17" spans="2:12" x14ac:dyDescent="0.3">
      <c r="B17" s="200"/>
      <c r="C17" s="300">
        <f>'SUD Historical'!H20</f>
        <v>-0.25977926349050362</v>
      </c>
      <c r="D17" s="5"/>
      <c r="E17" s="266" t="e">
        <f>ROUND('SUD Historical'!G16*(1+C14)^(D14/12),2)</f>
        <v>#VALUE!</v>
      </c>
      <c r="F17" s="5"/>
      <c r="G17" s="342"/>
      <c r="H17" s="342"/>
      <c r="I17" s="342"/>
      <c r="J17" s="342"/>
      <c r="K17" s="342"/>
      <c r="L17" s="32"/>
    </row>
    <row r="18" spans="2:12" ht="13.5" thickBot="1" x14ac:dyDescent="0.35">
      <c r="B18" s="299" t="str">
        <f>'SUD Historical'!B22</f>
        <v>Adolescents</v>
      </c>
      <c r="C18" s="301" t="s">
        <v>30</v>
      </c>
      <c r="D18" s="4"/>
      <c r="E18" s="266">
        <f>'SUD Historical'!H60</f>
        <v>0</v>
      </c>
      <c r="F18" s="5"/>
      <c r="G18" s="5"/>
      <c r="H18" s="5"/>
      <c r="I18" s="5"/>
      <c r="J18" s="5"/>
      <c r="K18" s="5"/>
      <c r="L18" s="5"/>
    </row>
    <row r="19" spans="2:12" x14ac:dyDescent="0.3">
      <c r="B19" s="130" t="s">
        <v>29</v>
      </c>
      <c r="C19" s="150" t="s">
        <v>30</v>
      </c>
      <c r="D19" s="153" t="s">
        <v>30</v>
      </c>
      <c r="E19" s="267">
        <f>'SUD Historical'!G24</f>
        <v>58</v>
      </c>
      <c r="F19" s="155" t="str">
        <f>C19</f>
        <v>n.a.</v>
      </c>
      <c r="G19" s="187">
        <f>'SUD Caseloads'!D6</f>
        <v>74</v>
      </c>
      <c r="H19" s="187">
        <f>'SUD Caseloads'!E6</f>
        <v>58</v>
      </c>
      <c r="I19" s="187">
        <f>'SUD Caseloads'!F6</f>
        <v>90</v>
      </c>
      <c r="J19" s="187">
        <f>'SUD Caseloads'!G6</f>
        <v>90</v>
      </c>
      <c r="K19" s="187">
        <f>'SUD Caseloads'!H6</f>
        <v>90</v>
      </c>
      <c r="L19" s="142"/>
    </row>
    <row r="20" spans="2:12" x14ac:dyDescent="0.3">
      <c r="B20" s="131" t="s">
        <v>31</v>
      </c>
      <c r="C20" s="303" t="s">
        <v>30</v>
      </c>
      <c r="D20" s="270">
        <v>24</v>
      </c>
      <c r="E20" s="268">
        <f>'SUD Historical'!F25</f>
        <v>866.98830540540541</v>
      </c>
      <c r="F20" s="156">
        <v>6.7000000000000004E-2</v>
      </c>
      <c r="G20" s="347">
        <v>573</v>
      </c>
      <c r="H20" s="348">
        <v>595</v>
      </c>
      <c r="I20" s="325">
        <f>ROUND((1+$F20)^(D20/12)*E20,2)</f>
        <v>987.06</v>
      </c>
      <c r="J20" s="325">
        <f t="shared" ref="J20:K20" si="7">ROUND((1+$F20)*I20,2)</f>
        <v>1053.19</v>
      </c>
      <c r="K20" s="326">
        <f t="shared" si="7"/>
        <v>1123.75</v>
      </c>
      <c r="L20" s="143"/>
    </row>
    <row r="21" spans="2:12" x14ac:dyDescent="0.3">
      <c r="B21" s="328" t="s">
        <v>145</v>
      </c>
      <c r="C21" s="303"/>
      <c r="D21" s="350"/>
      <c r="E21" s="351"/>
      <c r="F21" s="329"/>
      <c r="G21" s="352"/>
      <c r="H21" s="352"/>
      <c r="I21" s="341">
        <v>0</v>
      </c>
      <c r="J21" s="341">
        <v>0</v>
      </c>
      <c r="K21" s="353">
        <v>0</v>
      </c>
      <c r="L21" s="324"/>
    </row>
    <row r="22" spans="2:12" ht="13.5" thickBot="1" x14ac:dyDescent="0.35">
      <c r="B22" s="132" t="s">
        <v>32</v>
      </c>
      <c r="C22" s="152"/>
      <c r="D22" s="139"/>
      <c r="E22" s="269"/>
      <c r="F22" s="139"/>
      <c r="G22" s="331">
        <f t="shared" ref="G22" si="8">+G19*SUM(G20:G21)</f>
        <v>42402</v>
      </c>
      <c r="H22" s="331">
        <f t="shared" ref="H22" si="9">+H19*SUM(H20:H21)</f>
        <v>34510</v>
      </c>
      <c r="I22" s="331">
        <f t="shared" ref="I22" si="10">+I19*SUM(I20:I21)</f>
        <v>88835.4</v>
      </c>
      <c r="J22" s="331">
        <f t="shared" ref="J22" si="11">+J19*SUM(J20:J21)</f>
        <v>94787.1</v>
      </c>
      <c r="K22" s="331">
        <f>+K19*SUM(K20:K21)</f>
        <v>101137.5</v>
      </c>
      <c r="L22" s="154">
        <f>SUM(G22:K22)</f>
        <v>361672</v>
      </c>
    </row>
    <row r="23" spans="2:12" x14ac:dyDescent="0.3">
      <c r="B23" s="200"/>
      <c r="C23" s="354"/>
      <c r="D23" s="5"/>
      <c r="E23" s="5"/>
      <c r="F23" s="5"/>
      <c r="G23" s="342"/>
      <c r="H23" s="342"/>
      <c r="I23" s="342"/>
      <c r="J23" s="342"/>
      <c r="K23" s="342"/>
      <c r="L23" s="32"/>
    </row>
    <row r="24" spans="2:12" ht="13.5" thickBot="1" x14ac:dyDescent="0.35">
      <c r="B24" s="355" t="str">
        <f>'SUD Historical'!B31</f>
        <v>Non-Qualified Waiver Nursing Facility Population</v>
      </c>
      <c r="C24" s="301" t="s">
        <v>30</v>
      </c>
      <c r="D24" s="4"/>
      <c r="E24" s="266">
        <f>'SUD Historical'!H66</f>
        <v>0</v>
      </c>
      <c r="F24" s="5"/>
      <c r="G24" s="5"/>
      <c r="H24" s="5"/>
      <c r="I24" s="5"/>
      <c r="J24" s="5"/>
      <c r="K24" s="5"/>
      <c r="L24" s="5"/>
    </row>
    <row r="25" spans="2:12" x14ac:dyDescent="0.3">
      <c r="B25" s="130" t="s">
        <v>29</v>
      </c>
      <c r="C25" s="150" t="s">
        <v>30</v>
      </c>
      <c r="D25" s="153" t="s">
        <v>30</v>
      </c>
      <c r="E25" s="267">
        <f>'SUD Historical'!G39</f>
        <v>0</v>
      </c>
      <c r="F25" s="155" t="str">
        <f>C25</f>
        <v>n.a.</v>
      </c>
      <c r="G25" s="187">
        <f>'SUD Caseloads'!D7</f>
        <v>0</v>
      </c>
      <c r="H25" s="187">
        <f>'SUD Caseloads'!E7</f>
        <v>0</v>
      </c>
      <c r="I25" s="187">
        <f>'SUD Caseloads'!F7</f>
        <v>0</v>
      </c>
      <c r="J25" s="187">
        <f>'SUD Caseloads'!G7</f>
        <v>0</v>
      </c>
      <c r="K25" s="187">
        <f>'SUD Caseloads'!H7</f>
        <v>9193.3147495700214</v>
      </c>
      <c r="L25" s="142"/>
    </row>
    <row r="26" spans="2:12" x14ac:dyDescent="0.3">
      <c r="B26" s="131" t="s">
        <v>31</v>
      </c>
      <c r="C26" s="303" t="s">
        <v>30</v>
      </c>
      <c r="D26" s="270">
        <v>24</v>
      </c>
      <c r="E26" s="268">
        <f>'SUD Historical'!F40</f>
        <v>0</v>
      </c>
      <c r="F26" s="156">
        <v>4.9000000000000002E-2</v>
      </c>
      <c r="G26" s="347"/>
      <c r="H26" s="348"/>
      <c r="I26" s="348"/>
      <c r="J26" s="348"/>
      <c r="K26" s="326">
        <v>0</v>
      </c>
      <c r="L26" s="143"/>
    </row>
    <row r="27" spans="2:12" x14ac:dyDescent="0.3">
      <c r="B27" s="328" t="s">
        <v>145</v>
      </c>
      <c r="C27" s="303"/>
      <c r="D27" s="350"/>
      <c r="E27" s="351"/>
      <c r="F27" s="329"/>
      <c r="G27" s="352"/>
      <c r="H27" s="352"/>
      <c r="I27" s="352"/>
      <c r="J27" s="352"/>
      <c r="K27" s="353">
        <v>1.4004222378606848</v>
      </c>
      <c r="L27" s="324"/>
    </row>
    <row r="28" spans="2:12" ht="13.5" thickBot="1" x14ac:dyDescent="0.35">
      <c r="B28" s="132" t="s">
        <v>32</v>
      </c>
      <c r="C28" s="152"/>
      <c r="D28" s="139"/>
      <c r="E28" s="269"/>
      <c r="F28" s="139"/>
      <c r="G28" s="331">
        <f t="shared" ref="G28" si="12">+G25*SUM(G26:G27)</f>
        <v>0</v>
      </c>
      <c r="H28" s="331">
        <f t="shared" ref="H28" si="13">+H25*SUM(H26:H27)</f>
        <v>0</v>
      </c>
      <c r="I28" s="331">
        <f t="shared" ref="I28" si="14">+I25*SUM(I26:I27)</f>
        <v>0</v>
      </c>
      <c r="J28" s="331">
        <f t="shared" ref="J28" si="15">+J25*SUM(J26:J27)</f>
        <v>0</v>
      </c>
      <c r="K28" s="331">
        <f>+K25*SUM(K26:K27)</f>
        <v>12874.52241495049</v>
      </c>
      <c r="L28" s="154">
        <f>SUM(G28:K28)</f>
        <v>12874.52241495049</v>
      </c>
    </row>
    <row r="29" spans="2:12" x14ac:dyDescent="0.3">
      <c r="B29" s="293"/>
      <c r="C29" s="302" t="s">
        <v>30</v>
      </c>
      <c r="D29" s="4"/>
      <c r="E29" s="266">
        <f>'SUD Historical'!I60</f>
        <v>0</v>
      </c>
      <c r="F29" s="5"/>
      <c r="G29" s="5"/>
      <c r="H29" s="5"/>
      <c r="I29" s="5"/>
      <c r="J29" s="5"/>
      <c r="K29" s="5"/>
      <c r="L29" s="5"/>
    </row>
    <row r="30" spans="2:12" ht="13.5" thickBot="1" x14ac:dyDescent="0.35">
      <c r="B30" s="4" t="str">
        <f>'SUD Historical'!J44</f>
        <v>SUD IMD Hypothetical Services CNOM MEG</v>
      </c>
      <c r="C30" s="302"/>
      <c r="D30" s="4"/>
      <c r="E30" s="266"/>
      <c r="F30" s="5"/>
      <c r="G30" s="5"/>
      <c r="H30" s="5"/>
      <c r="I30" s="5"/>
      <c r="J30" s="5"/>
      <c r="K30" s="5"/>
      <c r="L30" s="5"/>
    </row>
    <row r="31" spans="2:12" x14ac:dyDescent="0.3">
      <c r="B31" s="130" t="s">
        <v>29</v>
      </c>
      <c r="C31" s="150" t="s">
        <v>30</v>
      </c>
      <c r="D31" s="153" t="s">
        <v>30</v>
      </c>
      <c r="E31" s="267" t="s">
        <v>30</v>
      </c>
      <c r="F31" s="155" t="str">
        <f>C31</f>
        <v>n.a.</v>
      </c>
      <c r="G31" s="187">
        <f>'SUD Caseloads'!D8</f>
        <v>0</v>
      </c>
      <c r="H31" s="188">
        <f>'SUD Caseloads'!E8</f>
        <v>0</v>
      </c>
      <c r="I31" s="188">
        <f>'SUD Caseloads'!F8</f>
        <v>0</v>
      </c>
      <c r="J31" s="188">
        <f>'SUD Caseloads'!G8</f>
        <v>0</v>
      </c>
      <c r="K31" s="189">
        <f>'SUD Caseloads'!H8</f>
        <v>0</v>
      </c>
      <c r="L31" s="142"/>
    </row>
    <row r="32" spans="2:12" x14ac:dyDescent="0.3">
      <c r="B32" s="131" t="s">
        <v>31</v>
      </c>
      <c r="C32" s="151" t="s">
        <v>30</v>
      </c>
      <c r="D32" s="270"/>
      <c r="E32" s="271">
        <f>ROUND('SUD Historical'!J60*(1+F32)^(D32/12),2)</f>
        <v>0</v>
      </c>
      <c r="F32" s="156">
        <f>F2</f>
        <v>4.9000000000000002E-2</v>
      </c>
      <c r="G32" s="149">
        <f>ROUND((1+F32)*E32,2)</f>
        <v>0</v>
      </c>
      <c r="H32" s="116">
        <f>ROUND((1+$F32)*G32,2)</f>
        <v>0</v>
      </c>
      <c r="I32" s="116">
        <f>ROUND((1+$F32)*H32,2)</f>
        <v>0</v>
      </c>
      <c r="J32" s="116">
        <f>ROUND((1+$F32)*I32,2)</f>
        <v>0</v>
      </c>
      <c r="K32" s="148">
        <f>ROUND((1+$F32)*J32,2)</f>
        <v>0</v>
      </c>
      <c r="L32" s="143"/>
    </row>
    <row r="33" spans="2:12" ht="13.5" thickBot="1" x14ac:dyDescent="0.35">
      <c r="B33" s="132" t="s">
        <v>32</v>
      </c>
      <c r="C33" s="152"/>
      <c r="D33" s="139"/>
      <c r="E33" s="269"/>
      <c r="F33" s="139"/>
      <c r="G33" s="129">
        <f>+G31*G32</f>
        <v>0</v>
      </c>
      <c r="H33" s="122">
        <f>+H31*H32</f>
        <v>0</v>
      </c>
      <c r="I33" s="122">
        <f>+I31*I32</f>
        <v>0</v>
      </c>
      <c r="J33" s="122">
        <f>+J31*J32</f>
        <v>0</v>
      </c>
      <c r="K33" s="126">
        <f>+K31*K32</f>
        <v>0</v>
      </c>
      <c r="L33" s="154">
        <f>SUM(G33:K33)</f>
        <v>0</v>
      </c>
    </row>
    <row r="52" spans="5:5" x14ac:dyDescent="0.3">
      <c r="E52" s="327"/>
    </row>
  </sheetData>
  <mergeCells count="1">
    <mergeCell ref="G3:K3"/>
  </mergeCells>
  <dataValidations count="6">
    <dataValidation type="list" allowBlank="1" showInputMessage="1" showErrorMessage="1" sqref="E14:E15">
      <formula1>$E$17:$E$18</formula1>
    </dataValidation>
    <dataValidation type="list" allowBlank="1" showInputMessage="1" showErrorMessage="1" sqref="E20:E21 E26:E27">
      <formula1>$E$28:$E$29</formula1>
    </dataValidation>
    <dataValidation type="list" allowBlank="1" showInputMessage="1" showErrorMessage="1" sqref="C14:C15">
      <formula1>$C$17:$C$18</formula1>
    </dataValidation>
    <dataValidation type="list" allowBlank="1" showInputMessage="1" showErrorMessage="1" sqref="C20:C21 C26:C27">
      <formula1>$C$28:$C$29</formula1>
    </dataValidation>
    <dataValidation type="list" allowBlank="1" showInputMessage="1" showErrorMessage="1" sqref="E8:E9">
      <formula1>$E$11:$E$12</formula1>
    </dataValidation>
    <dataValidation type="list" allowBlank="1" showInputMessage="1" showErrorMessage="1" sqref="C8:C9">
      <formula1>$C$11:$C$12</formula1>
    </dataValidation>
  </dataValidations>
  <pageMargins left="0.7" right="0.7" top="0.75" bottom="0.75" header="0.3" footer="0.3"/>
  <pageSetup orientation="portrait" r:id="rId1"/>
  <ignoredErrors>
    <ignoredError sqref="E7 E10 E16 E13:F13 E19 E31:F32 F16:F19 F29 E22:F22" unlockedFormula="1"/>
    <ignoredError sqref="E17 E11 C17 G33:L33 K8:L8 L10 G12:L12 G18:L18 G29:L32 J14:L14 G13:H13 L13 J20:L20 G19 L19 L11 L1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8"/>
  <sheetViews>
    <sheetView workbookViewId="0"/>
  </sheetViews>
  <sheetFormatPr defaultColWidth="9.1796875" defaultRowHeight="13" x14ac:dyDescent="0.3"/>
  <cols>
    <col min="1" max="1" width="9.1796875" style="10"/>
    <col min="2" max="2" width="44.453125" style="10" bestFit="1" customWidth="1"/>
    <col min="3" max="4" width="10.7265625" style="33" customWidth="1"/>
    <col min="5" max="5" width="11.81640625" style="33" bestFit="1" customWidth="1"/>
    <col min="6" max="10" width="13.453125" style="33" bestFit="1" customWidth="1"/>
    <col min="11" max="16384" width="9.1796875" style="10"/>
  </cols>
  <sheetData>
    <row r="2" spans="2:12" ht="13.5" thickBot="1" x14ac:dyDescent="0.35">
      <c r="E2" s="54"/>
      <c r="F2" s="54"/>
      <c r="G2" s="54"/>
      <c r="H2" s="54"/>
      <c r="I2" s="54"/>
    </row>
    <row r="3" spans="2:12" ht="12.75" customHeight="1" thickBot="1" x14ac:dyDescent="0.35">
      <c r="B3" s="277" t="s">
        <v>19</v>
      </c>
      <c r="C3" s="34"/>
      <c r="D3" s="35" t="s">
        <v>20</v>
      </c>
      <c r="E3" s="391" t="s">
        <v>1</v>
      </c>
      <c r="F3" s="392"/>
      <c r="G3" s="392"/>
      <c r="H3" s="392"/>
      <c r="I3" s="393"/>
      <c r="J3" s="2" t="s">
        <v>33</v>
      </c>
    </row>
    <row r="4" spans="2:12" ht="12.75" customHeight="1" thickBot="1" x14ac:dyDescent="0.35">
      <c r="B4" s="27" t="s">
        <v>23</v>
      </c>
      <c r="C4" s="36" t="s">
        <v>26</v>
      </c>
      <c r="D4" s="3" t="s">
        <v>121</v>
      </c>
      <c r="E4" s="36" t="str">
        <f>'SUD Without Waiver'!G4</f>
        <v>DY 01</v>
      </c>
      <c r="F4" s="36" t="str">
        <f>'SUD Without Waiver'!H4</f>
        <v>DY 02</v>
      </c>
      <c r="G4" s="36" t="str">
        <f>'SUD Without Waiver'!I4</f>
        <v>DY 03</v>
      </c>
      <c r="H4" s="36" t="str">
        <f>'SUD Without Waiver'!J4</f>
        <v>DY 04</v>
      </c>
      <c r="I4" s="36" t="str">
        <f>'SUD Without Waiver'!K4</f>
        <v>DY 05</v>
      </c>
      <c r="J4" s="3"/>
    </row>
    <row r="5" spans="2:12" ht="12.75" customHeight="1" x14ac:dyDescent="0.3">
      <c r="B5" s="114"/>
      <c r="C5" s="115"/>
      <c r="D5" s="115"/>
      <c r="E5" s="115"/>
      <c r="F5" s="115"/>
      <c r="G5" s="115"/>
      <c r="H5" s="115"/>
      <c r="I5" s="115"/>
      <c r="J5" s="115"/>
    </row>
    <row r="6" spans="2:12" ht="12.75" customHeight="1" thickBot="1" x14ac:dyDescent="0.35">
      <c r="B6" s="390" t="str">
        <f>'SUD Historical'!B4</f>
        <v>Medicaid Adults</v>
      </c>
      <c r="C6" s="390"/>
      <c r="D6" s="390"/>
      <c r="E6" s="5"/>
      <c r="F6" s="5"/>
      <c r="G6" s="5"/>
      <c r="H6" s="5"/>
      <c r="I6" s="5"/>
      <c r="J6" s="5"/>
      <c r="K6" s="5"/>
      <c r="L6" s="5"/>
    </row>
    <row r="7" spans="2:12" ht="12.75" customHeight="1" x14ac:dyDescent="0.3">
      <c r="B7" s="130" t="s">
        <v>29</v>
      </c>
      <c r="C7" s="136"/>
      <c r="D7" s="136"/>
      <c r="E7" s="190">
        <f>'SUD Without Waiver'!G7</f>
        <v>695</v>
      </c>
      <c r="F7" s="191">
        <f>'SUD Without Waiver'!H7</f>
        <v>617</v>
      </c>
      <c r="G7" s="191">
        <f>'SUD Without Waiver'!I7</f>
        <v>682</v>
      </c>
      <c r="H7" s="191">
        <f>'SUD Without Waiver'!J7</f>
        <v>682</v>
      </c>
      <c r="I7" s="192">
        <f>'SUD Without Waiver'!K7</f>
        <v>682</v>
      </c>
      <c r="J7" s="142"/>
      <c r="L7" s="11"/>
    </row>
    <row r="8" spans="2:12" ht="12.75" customHeight="1" x14ac:dyDescent="0.3">
      <c r="B8" s="131" t="s">
        <v>31</v>
      </c>
      <c r="C8" s="137">
        <f>'SUD Without Waiver'!E8</f>
        <v>1340.7687846043166</v>
      </c>
      <c r="D8" s="304">
        <f>'SUD Without Waiver'!F8</f>
        <v>8.3000000000000004E-2</v>
      </c>
      <c r="E8" s="127">
        <f>'SUD Without Waiver'!G8</f>
        <v>961</v>
      </c>
      <c r="F8" s="118">
        <f>'SUD Without Waiver'!H8</f>
        <v>1004</v>
      </c>
      <c r="G8" s="118">
        <f>'SUD Without Waiver'!I8</f>
        <v>1572.57</v>
      </c>
      <c r="H8" s="118">
        <f>'SUD Without Waiver'!J8</f>
        <v>1703.09</v>
      </c>
      <c r="I8" s="124">
        <f>'SUD Without Waiver'!K8</f>
        <v>1844.45</v>
      </c>
      <c r="J8" s="143"/>
    </row>
    <row r="9" spans="2:12" ht="12.75" customHeight="1" x14ac:dyDescent="0.3">
      <c r="B9" s="328" t="s">
        <v>145</v>
      </c>
      <c r="C9" s="330"/>
      <c r="D9" s="365"/>
      <c r="E9" s="366">
        <f>'SUD Without Waiver'!G9</f>
        <v>0</v>
      </c>
      <c r="F9" s="367">
        <f>'SUD Without Waiver'!H9</f>
        <v>0</v>
      </c>
      <c r="G9" s="367">
        <f>'SUD Without Waiver'!I9</f>
        <v>0</v>
      </c>
      <c r="H9" s="367">
        <f>'SUD Without Waiver'!J9</f>
        <v>0</v>
      </c>
      <c r="I9" s="364">
        <f>'SUD Without Waiver'!K9</f>
        <v>6.621817130178723</v>
      </c>
      <c r="J9" s="324"/>
    </row>
    <row r="10" spans="2:12" ht="12.75" customHeight="1" thickBot="1" x14ac:dyDescent="0.35">
      <c r="B10" s="132" t="s">
        <v>32</v>
      </c>
      <c r="C10" s="138"/>
      <c r="D10" s="138"/>
      <c r="E10" s="128">
        <f>'SUD Without Waiver'!G10</f>
        <v>667895</v>
      </c>
      <c r="F10" s="121">
        <f>'SUD Without Waiver'!H10</f>
        <v>619468</v>
      </c>
      <c r="G10" s="121">
        <f>'SUD Without Waiver'!I10</f>
        <v>1072492.74</v>
      </c>
      <c r="H10" s="121">
        <f>'SUD Without Waiver'!J10</f>
        <v>1161507.3799999999</v>
      </c>
      <c r="I10" s="125">
        <f>'SUD Without Waiver'!K10</f>
        <v>1262430.9792827819</v>
      </c>
      <c r="J10" s="138">
        <f>'SUD Without Waiver'!L10</f>
        <v>4783794.0992827825</v>
      </c>
    </row>
    <row r="11" spans="2:12" ht="12.75" customHeight="1" x14ac:dyDescent="0.3">
      <c r="B11" s="200"/>
      <c r="C11" s="201"/>
      <c r="D11" s="201"/>
      <c r="E11" s="201"/>
      <c r="F11" s="201"/>
      <c r="G11" s="201"/>
      <c r="H11" s="201"/>
      <c r="I11" s="201"/>
      <c r="J11" s="201"/>
    </row>
    <row r="12" spans="2:12" ht="12.75" customHeight="1" thickBot="1" x14ac:dyDescent="0.35">
      <c r="B12" s="390" t="str">
        <f>'SUD Historical'!B13</f>
        <v>Expansion Adults</v>
      </c>
      <c r="C12" s="390"/>
      <c r="D12" s="390"/>
      <c r="E12" s="5"/>
      <c r="F12" s="5"/>
      <c r="G12" s="5"/>
      <c r="H12" s="5"/>
      <c r="I12" s="5"/>
      <c r="J12" s="5"/>
      <c r="K12" s="33"/>
      <c r="L12" s="33"/>
    </row>
    <row r="13" spans="2:12" ht="12.75" customHeight="1" x14ac:dyDescent="0.3">
      <c r="B13" s="130" t="s">
        <v>29</v>
      </c>
      <c r="C13" s="136"/>
      <c r="D13" s="224"/>
      <c r="E13" s="227">
        <f>'SUD Without Waiver'!G13</f>
        <v>3812</v>
      </c>
      <c r="F13" s="191">
        <f>'SUD Without Waiver'!H13</f>
        <v>4474</v>
      </c>
      <c r="G13" s="191">
        <f>'SUD Without Waiver'!I13</f>
        <v>4918</v>
      </c>
      <c r="H13" s="191">
        <f>'SUD Without Waiver'!J13</f>
        <v>4918</v>
      </c>
      <c r="I13" s="192">
        <f>'SUD Without Waiver'!K13</f>
        <v>4918</v>
      </c>
      <c r="J13" s="142"/>
      <c r="K13" s="5"/>
      <c r="L13" s="5"/>
    </row>
    <row r="14" spans="2:12" ht="12.75" customHeight="1" x14ac:dyDescent="0.3">
      <c r="B14" s="131" t="s">
        <v>31</v>
      </c>
      <c r="C14" s="137">
        <f>'SUD Without Waiver'!E14</f>
        <v>1451.4859091552989</v>
      </c>
      <c r="D14" s="305">
        <f>'SUD Without Waiver'!F14</f>
        <v>6.4000000000000001E-2</v>
      </c>
      <c r="E14" s="228">
        <f>'SUD Without Waiver'!G14</f>
        <v>608</v>
      </c>
      <c r="F14" s="226">
        <f>'SUD Without Waiver'!H14</f>
        <v>636</v>
      </c>
      <c r="G14" s="226">
        <f>'SUD Without Waiver'!I14</f>
        <v>1643.22</v>
      </c>
      <c r="H14" s="226">
        <f>'SUD Without Waiver'!J14</f>
        <v>1748.39</v>
      </c>
      <c r="I14" s="124">
        <f>'SUD Without Waiver'!K14</f>
        <v>1860.29</v>
      </c>
      <c r="J14" s="143"/>
    </row>
    <row r="15" spans="2:12" ht="12.75" customHeight="1" x14ac:dyDescent="0.3">
      <c r="B15" s="328" t="s">
        <v>145</v>
      </c>
      <c r="C15" s="330"/>
      <c r="D15" s="363"/>
      <c r="E15" s="366">
        <f>'SUD Without Waiver'!G15</f>
        <v>0</v>
      </c>
      <c r="F15" s="367">
        <f>'SUD Without Waiver'!H15</f>
        <v>0</v>
      </c>
      <c r="G15" s="367">
        <f>'SUD Without Waiver'!I15</f>
        <v>0</v>
      </c>
      <c r="H15" s="367">
        <f>'SUD Without Waiver'!J15</f>
        <v>0</v>
      </c>
      <c r="I15" s="364">
        <f>'SUD Without Waiver'!K15</f>
        <v>6.1110720150129021</v>
      </c>
      <c r="J15" s="324"/>
    </row>
    <row r="16" spans="2:12" ht="12.75" customHeight="1" thickBot="1" x14ac:dyDescent="0.35">
      <c r="B16" s="132" t="s">
        <v>32</v>
      </c>
      <c r="C16" s="138"/>
      <c r="D16" s="225"/>
      <c r="E16" s="229">
        <f>'SUD Without Waiver'!G16</f>
        <v>2317696</v>
      </c>
      <c r="F16" s="230">
        <f>'SUD Without Waiver'!H16</f>
        <v>2845464</v>
      </c>
      <c r="G16" s="230">
        <f>'SUD Without Waiver'!I16</f>
        <v>8081355.96</v>
      </c>
      <c r="H16" s="230">
        <f>'SUD Without Waiver'!J16</f>
        <v>8598582.0200000014</v>
      </c>
      <c r="I16" s="125">
        <f>'SUD Without Waiver'!K16</f>
        <v>9178960.4721698333</v>
      </c>
      <c r="J16" s="138">
        <f>'SUD Without Waiver'!L16</f>
        <v>31022058.452169836</v>
      </c>
    </row>
    <row r="17" spans="2:10" ht="12.75" customHeight="1" x14ac:dyDescent="0.3">
      <c r="B17" s="200"/>
      <c r="C17" s="201"/>
      <c r="D17" s="201"/>
      <c r="E17" s="201"/>
      <c r="F17" s="201"/>
      <c r="G17" s="201"/>
      <c r="H17" s="201"/>
      <c r="I17" s="201"/>
      <c r="J17" s="201"/>
    </row>
    <row r="18" spans="2:10" ht="12.75" customHeight="1" thickBot="1" x14ac:dyDescent="0.35">
      <c r="B18" s="390" t="str">
        <f>'SUD Historical'!B22</f>
        <v>Adolescents</v>
      </c>
      <c r="C18" s="390"/>
      <c r="D18" s="390"/>
      <c r="E18" s="5"/>
      <c r="F18" s="5"/>
      <c r="G18" s="5"/>
      <c r="H18" s="5"/>
      <c r="I18" s="5"/>
      <c r="J18" s="5"/>
    </row>
    <row r="19" spans="2:10" x14ac:dyDescent="0.3">
      <c r="B19" s="130" t="s">
        <v>29</v>
      </c>
      <c r="C19" s="136"/>
      <c r="D19" s="224"/>
      <c r="E19" s="227">
        <f>'SUD Without Waiver'!G19</f>
        <v>74</v>
      </c>
      <c r="F19" s="191">
        <f>'SUD Without Waiver'!H19</f>
        <v>58</v>
      </c>
      <c r="G19" s="191">
        <f>'SUD Without Waiver'!I19</f>
        <v>90</v>
      </c>
      <c r="H19" s="191">
        <f>'SUD Without Waiver'!J19</f>
        <v>90</v>
      </c>
      <c r="I19" s="192">
        <f>'SUD Without Waiver'!K19</f>
        <v>90</v>
      </c>
      <c r="J19" s="142"/>
    </row>
    <row r="20" spans="2:10" x14ac:dyDescent="0.3">
      <c r="B20" s="131" t="s">
        <v>31</v>
      </c>
      <c r="C20" s="137">
        <f>'SUD Without Waiver'!E20</f>
        <v>866.98830540540541</v>
      </c>
      <c r="D20" s="305">
        <f>'SUD Without Waiver'!F20</f>
        <v>6.7000000000000004E-2</v>
      </c>
      <c r="E20" s="228">
        <f>'SUD Without Waiver'!G20</f>
        <v>573</v>
      </c>
      <c r="F20" s="226">
        <f>'SUD Without Waiver'!H20</f>
        <v>595</v>
      </c>
      <c r="G20" s="226">
        <f>'SUD Without Waiver'!I20</f>
        <v>987.06</v>
      </c>
      <c r="H20" s="226">
        <f>'SUD Without Waiver'!J20</f>
        <v>1053.19</v>
      </c>
      <c r="I20" s="231">
        <f>'SUD Without Waiver'!K20</f>
        <v>1123.75</v>
      </c>
      <c r="J20" s="143"/>
    </row>
    <row r="21" spans="2:10" x14ac:dyDescent="0.3">
      <c r="B21" s="328" t="s">
        <v>145</v>
      </c>
      <c r="C21" s="330"/>
      <c r="D21" s="363"/>
      <c r="E21" s="366">
        <f>'SUD Without Waiver'!G21</f>
        <v>0</v>
      </c>
      <c r="F21" s="367">
        <f>'SUD Without Waiver'!H21</f>
        <v>0</v>
      </c>
      <c r="G21" s="367">
        <f>'SUD Without Waiver'!I21</f>
        <v>0</v>
      </c>
      <c r="H21" s="367">
        <f>'SUD Without Waiver'!J21</f>
        <v>0</v>
      </c>
      <c r="I21" s="364">
        <f>'SUD Without Waiver'!K21</f>
        <v>0</v>
      </c>
      <c r="J21" s="324"/>
    </row>
    <row r="22" spans="2:10" ht="13.5" thickBot="1" x14ac:dyDescent="0.35">
      <c r="B22" s="132" t="s">
        <v>32</v>
      </c>
      <c r="C22" s="138"/>
      <c r="D22" s="225"/>
      <c r="E22" s="229">
        <f>'SUD Without Waiver'!G22</f>
        <v>42402</v>
      </c>
      <c r="F22" s="230">
        <f>'SUD Without Waiver'!H22</f>
        <v>34510</v>
      </c>
      <c r="G22" s="230">
        <f>'SUD Without Waiver'!I22</f>
        <v>88835.4</v>
      </c>
      <c r="H22" s="230">
        <f>'SUD Without Waiver'!J22</f>
        <v>94787.1</v>
      </c>
      <c r="I22" s="232">
        <f>'SUD Without Waiver'!K22</f>
        <v>101137.5</v>
      </c>
      <c r="J22" s="138">
        <f>'SUD Without Waiver'!L22</f>
        <v>361672</v>
      </c>
    </row>
    <row r="23" spans="2:10" x14ac:dyDescent="0.3">
      <c r="B23" s="200"/>
      <c r="C23" s="201"/>
      <c r="D23" s="201"/>
      <c r="E23" s="361"/>
      <c r="F23" s="361"/>
      <c r="G23" s="361"/>
      <c r="H23" s="361"/>
      <c r="I23" s="361"/>
      <c r="J23" s="201"/>
    </row>
    <row r="24" spans="2:10" ht="13.5" thickBot="1" x14ac:dyDescent="0.35">
      <c r="B24" s="394" t="str">
        <f>'SUD Historical'!B31</f>
        <v>Non-Qualified Waiver Nursing Facility Population</v>
      </c>
      <c r="C24" s="390"/>
      <c r="D24" s="390"/>
      <c r="E24" s="5"/>
      <c r="F24" s="5"/>
      <c r="G24" s="5"/>
      <c r="H24" s="5"/>
      <c r="I24" s="5"/>
      <c r="J24" s="5"/>
    </row>
    <row r="25" spans="2:10" x14ac:dyDescent="0.3">
      <c r="B25" s="130" t="s">
        <v>29</v>
      </c>
      <c r="C25" s="136"/>
      <c r="D25" s="224"/>
      <c r="E25" s="227">
        <f>'SUD Without Waiver'!G25</f>
        <v>0</v>
      </c>
      <c r="F25" s="191">
        <f>'SUD Without Waiver'!H25</f>
        <v>0</v>
      </c>
      <c r="G25" s="191">
        <f>'SUD Without Waiver'!I25</f>
        <v>0</v>
      </c>
      <c r="H25" s="191">
        <f>'SUD Without Waiver'!J25</f>
        <v>0</v>
      </c>
      <c r="I25" s="192">
        <f>'SUD Without Waiver'!K25</f>
        <v>9193.3147495700214</v>
      </c>
      <c r="J25" s="142"/>
    </row>
    <row r="26" spans="2:10" x14ac:dyDescent="0.3">
      <c r="B26" s="131" t="s">
        <v>31</v>
      </c>
      <c r="C26" s="137">
        <f>'SUD Without Waiver'!E25</f>
        <v>0</v>
      </c>
      <c r="D26" s="305" t="str">
        <f>'SUD Without Waiver'!F25</f>
        <v>n.a.</v>
      </c>
      <c r="E26" s="228">
        <f>'SUD Without Waiver'!G26</f>
        <v>0</v>
      </c>
      <c r="F26" s="226">
        <f>'SUD Without Waiver'!H26</f>
        <v>0</v>
      </c>
      <c r="G26" s="226">
        <f>'SUD Without Waiver'!I26</f>
        <v>0</v>
      </c>
      <c r="H26" s="226">
        <f>'SUD Without Waiver'!J26</f>
        <v>0</v>
      </c>
      <c r="I26" s="231">
        <f>'SUD Without Waiver'!K26</f>
        <v>0</v>
      </c>
      <c r="J26" s="143"/>
    </row>
    <row r="27" spans="2:10" x14ac:dyDescent="0.3">
      <c r="B27" s="328" t="s">
        <v>145</v>
      </c>
      <c r="C27" s="330"/>
      <c r="D27" s="363"/>
      <c r="E27" s="366">
        <f>'SUD Without Waiver'!G27</f>
        <v>0</v>
      </c>
      <c r="F27" s="367">
        <f>'SUD Without Waiver'!H27</f>
        <v>0</v>
      </c>
      <c r="G27" s="367">
        <f>'SUD Without Waiver'!I27</f>
        <v>0</v>
      </c>
      <c r="H27" s="367">
        <f>'SUD Without Waiver'!J27</f>
        <v>0</v>
      </c>
      <c r="I27" s="364">
        <f>'SUD Without Waiver'!K27</f>
        <v>1.4004222378606848</v>
      </c>
      <c r="J27" s="324"/>
    </row>
    <row r="28" spans="2:10" ht="13.5" thickBot="1" x14ac:dyDescent="0.35">
      <c r="B28" s="132" t="s">
        <v>32</v>
      </c>
      <c r="C28" s="138"/>
      <c r="D28" s="225"/>
      <c r="E28" s="229">
        <f>'SUD Without Waiver'!G28</f>
        <v>0</v>
      </c>
      <c r="F28" s="230">
        <f>'SUD Without Waiver'!H28</f>
        <v>0</v>
      </c>
      <c r="G28" s="230">
        <f>'SUD Without Waiver'!I28</f>
        <v>0</v>
      </c>
      <c r="H28" s="230">
        <f>'SUD Without Waiver'!J28</f>
        <v>0</v>
      </c>
      <c r="I28" s="232">
        <f>'SUD Without Waiver'!K28</f>
        <v>12874.52241495049</v>
      </c>
      <c r="J28" s="138">
        <f>'SUD Without Waiver'!L28</f>
        <v>12874.52241495049</v>
      </c>
    </row>
    <row r="29" spans="2:10" x14ac:dyDescent="0.3">
      <c r="B29" s="200"/>
      <c r="C29" s="201"/>
      <c r="D29" s="201"/>
      <c r="E29" s="361"/>
      <c r="F29" s="361"/>
      <c r="G29" s="361"/>
      <c r="H29" s="361"/>
      <c r="I29" s="361"/>
      <c r="J29" s="201"/>
    </row>
    <row r="30" spans="2:10" ht="13.5" thickBot="1" x14ac:dyDescent="0.35">
      <c r="B30" s="390" t="str">
        <f>'SUD Without Waiver'!B30</f>
        <v>SUD IMD Hypothetical Services CNOM MEG</v>
      </c>
      <c r="C30" s="390"/>
      <c r="D30" s="390"/>
      <c r="E30" s="5"/>
      <c r="F30" s="5"/>
      <c r="G30" s="5"/>
      <c r="H30" s="5"/>
      <c r="I30" s="5"/>
      <c r="J30" s="5"/>
    </row>
    <row r="31" spans="2:10" x14ac:dyDescent="0.3">
      <c r="B31" s="130" t="s">
        <v>29</v>
      </c>
      <c r="C31" s="136" t="str">
        <f>'SUD Without Waiver'!E31</f>
        <v>n.a.</v>
      </c>
      <c r="D31" s="224"/>
      <c r="E31" s="227">
        <f>'SUD Without Waiver'!G31</f>
        <v>0</v>
      </c>
      <c r="F31" s="191">
        <f>'SUD Without Waiver'!H31</f>
        <v>0</v>
      </c>
      <c r="G31" s="191">
        <f>'SUD Without Waiver'!I31</f>
        <v>0</v>
      </c>
      <c r="H31" s="191">
        <f>'SUD Without Waiver'!J31</f>
        <v>0</v>
      </c>
      <c r="I31" s="192">
        <f>'SUD Without Waiver'!K31</f>
        <v>0</v>
      </c>
      <c r="J31" s="142"/>
    </row>
    <row r="32" spans="2:10" x14ac:dyDescent="0.3">
      <c r="B32" s="131" t="s">
        <v>31</v>
      </c>
      <c r="C32" s="137">
        <f>'SUD Without Waiver'!E32</f>
        <v>0</v>
      </c>
      <c r="D32" s="305">
        <f>'SUD Without Waiver'!F32</f>
        <v>4.9000000000000002E-2</v>
      </c>
      <c r="E32" s="228">
        <f>'SUD Without Waiver'!G32</f>
        <v>0</v>
      </c>
      <c r="F32" s="226">
        <f>'SUD Without Waiver'!H32</f>
        <v>0</v>
      </c>
      <c r="G32" s="226">
        <f>'SUD Without Waiver'!I32</f>
        <v>0</v>
      </c>
      <c r="H32" s="226">
        <f>'SUD Without Waiver'!J32</f>
        <v>0</v>
      </c>
      <c r="I32" s="231">
        <f>'SUD Without Waiver'!K32</f>
        <v>0</v>
      </c>
      <c r="J32" s="143"/>
    </row>
    <row r="33" spans="2:10" ht="13.5" thickBot="1" x14ac:dyDescent="0.35">
      <c r="B33" s="132" t="s">
        <v>32</v>
      </c>
      <c r="C33" s="138"/>
      <c r="D33" s="225"/>
      <c r="E33" s="229">
        <f>'SUD Without Waiver'!G33</f>
        <v>0</v>
      </c>
      <c r="F33" s="230">
        <f>'SUD Without Waiver'!H33</f>
        <v>0</v>
      </c>
      <c r="G33" s="230">
        <f>'SUD Without Waiver'!I33</f>
        <v>0</v>
      </c>
      <c r="H33" s="230">
        <f>'SUD Without Waiver'!J33</f>
        <v>0</v>
      </c>
      <c r="I33" s="232">
        <f>'SUD Without Waiver'!K33</f>
        <v>0</v>
      </c>
      <c r="J33" s="138">
        <f>'SUD Without Waiver'!L33</f>
        <v>0</v>
      </c>
    </row>
    <row r="34" spans="2:10" x14ac:dyDescent="0.3">
      <c r="B34" s="1"/>
      <c r="C34" s="37"/>
      <c r="D34" s="38"/>
      <c r="E34" s="37"/>
      <c r="F34" s="37"/>
      <c r="G34" s="37"/>
      <c r="H34" s="37"/>
      <c r="I34" s="37"/>
      <c r="J34" s="37"/>
    </row>
    <row r="35" spans="2:10" ht="13.5" thickBot="1" x14ac:dyDescent="0.35">
      <c r="B35" s="28" t="str">
        <f>'SUD Historical'!K44</f>
        <v>SUD IMD Non-Hypothetical Services CNOM MEG</v>
      </c>
      <c r="C35" s="37"/>
      <c r="D35" s="119"/>
      <c r="E35" s="120"/>
      <c r="F35" s="120"/>
      <c r="G35" s="120"/>
      <c r="H35" s="120"/>
      <c r="I35" s="120"/>
      <c r="J35" s="120"/>
    </row>
    <row r="36" spans="2:10" x14ac:dyDescent="0.3">
      <c r="B36" s="133" t="s">
        <v>29</v>
      </c>
      <c r="C36" s="140"/>
      <c r="D36" s="173"/>
      <c r="E36" s="193">
        <f>'SUD Caseloads'!D9</f>
        <v>0</v>
      </c>
      <c r="F36" s="194">
        <f>'SUD Caseloads'!E9</f>
        <v>0</v>
      </c>
      <c r="G36" s="194">
        <f>'SUD Caseloads'!F9</f>
        <v>0</v>
      </c>
      <c r="H36" s="194">
        <f>'SUD Caseloads'!G9</f>
        <v>0</v>
      </c>
      <c r="I36" s="195">
        <f>'SUD Caseloads'!H9</f>
        <v>0</v>
      </c>
      <c r="J36" s="144"/>
    </row>
    <row r="37" spans="2:10" x14ac:dyDescent="0.3">
      <c r="B37" s="134" t="s">
        <v>31</v>
      </c>
      <c r="C37" s="210">
        <f>'SUD Historical'!K60</f>
        <v>0</v>
      </c>
      <c r="D37" s="313">
        <f>'SUD Without Waiver'!F32</f>
        <v>4.9000000000000002E-2</v>
      </c>
      <c r="E37" s="175">
        <f>ROUND((1+D22)*C22,2)</f>
        <v>0</v>
      </c>
      <c r="F37" s="157">
        <f>ROUND((1+$D37)*E37,2)</f>
        <v>0</v>
      </c>
      <c r="G37" s="157">
        <f t="shared" ref="G37:I37" si="0">ROUND((1+$D37)*F37,2)</f>
        <v>0</v>
      </c>
      <c r="H37" s="157">
        <f t="shared" si="0"/>
        <v>0</v>
      </c>
      <c r="I37" s="157">
        <f t="shared" si="0"/>
        <v>0</v>
      </c>
      <c r="J37" s="145"/>
    </row>
    <row r="38" spans="2:10" ht="13.5" thickBot="1" x14ac:dyDescent="0.35">
      <c r="B38" s="135" t="s">
        <v>32</v>
      </c>
      <c r="C38" s="141"/>
      <c r="D38" s="174"/>
      <c r="E38" s="176">
        <f>+E36*E37</f>
        <v>0</v>
      </c>
      <c r="F38" s="123">
        <f t="shared" ref="F38:I38" si="1">+F36*F37</f>
        <v>0</v>
      </c>
      <c r="G38" s="123">
        <f t="shared" si="1"/>
        <v>0</v>
      </c>
      <c r="H38" s="123">
        <f t="shared" si="1"/>
        <v>0</v>
      </c>
      <c r="I38" s="177">
        <f t="shared" si="1"/>
        <v>0</v>
      </c>
      <c r="J38" s="146">
        <f>SUM(E38:I38)</f>
        <v>0</v>
      </c>
    </row>
  </sheetData>
  <mergeCells count="6">
    <mergeCell ref="B30:D30"/>
    <mergeCell ref="E3:I3"/>
    <mergeCell ref="B6:D6"/>
    <mergeCell ref="B12:D12"/>
    <mergeCell ref="B18:D18"/>
    <mergeCell ref="B24:D24"/>
  </mergeCells>
  <pageMargins left="0.7" right="0.7" top="0.75" bottom="0.75" header="0.3" footer="0.3"/>
  <pageSetup orientation="portrait" r:id="rId1"/>
  <ignoredErrors>
    <ignoredError sqref="E7:I7" unlockedFormula="1"/>
    <ignoredError sqref="E31:I31 E20:I20 C20:D20 E14:I14 C14:D14 E19:I19 E13:I13 D32:I32 C33:I33 C31:C32 C22:I22 C16:I16 C8 D8:I8" evalError="1" unlockedFormula="1"/>
    <ignoredError sqref="B10:J12 B8 J8 B17:J18 B16 J16 B30:J30 B22 J22 B34:J36 B31:B32 D31 B33 J33 J32 B14 B13:D13 J13 B20 B19:D19 J19 J14 J20 J31 B38:J38 B37:C37 E37:J3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1"/>
  <sheetViews>
    <sheetView topLeftCell="A33" workbookViewId="0"/>
  </sheetViews>
  <sheetFormatPr defaultColWidth="9.1796875" defaultRowHeight="13" x14ac:dyDescent="0.3"/>
  <cols>
    <col min="1" max="1" width="9.1796875" style="10"/>
    <col min="2" max="2" width="37.1796875" style="10" customWidth="1"/>
    <col min="3" max="8" width="22.1796875" style="33" customWidth="1"/>
    <col min="9" max="9" width="11" style="10" bestFit="1" customWidth="1"/>
    <col min="10" max="16384" width="9.1796875" style="10"/>
  </cols>
  <sheetData>
    <row r="2" spans="2:10" x14ac:dyDescent="0.3">
      <c r="B2" s="4" t="s">
        <v>93</v>
      </c>
      <c r="C2" s="5"/>
      <c r="D2" s="5"/>
      <c r="E2" s="5"/>
      <c r="F2" s="5"/>
      <c r="G2" s="5"/>
      <c r="H2" s="5"/>
    </row>
    <row r="3" spans="2:10" x14ac:dyDescent="0.3">
      <c r="B3" s="4"/>
      <c r="C3" s="5"/>
      <c r="D3" s="5"/>
      <c r="E3" s="5"/>
      <c r="F3" s="5"/>
      <c r="G3" s="5"/>
      <c r="H3" s="5"/>
    </row>
    <row r="4" spans="2:10" x14ac:dyDescent="0.3">
      <c r="B4" s="6" t="str">
        <f>'SUD Overview'!C7</f>
        <v>IMD Cost Limit</v>
      </c>
      <c r="C4" s="5"/>
      <c r="D4" s="5"/>
      <c r="E4" s="5"/>
      <c r="F4" s="5"/>
      <c r="G4" s="5"/>
      <c r="H4" s="5"/>
    </row>
    <row r="5" spans="2:10" ht="13.5" thickBot="1" x14ac:dyDescent="0.35">
      <c r="B5" s="6" t="s">
        <v>0</v>
      </c>
      <c r="C5" s="29"/>
      <c r="D5" s="29"/>
      <c r="E5" s="29"/>
      <c r="F5" s="29"/>
      <c r="G5" s="29"/>
      <c r="H5" s="5"/>
      <c r="J5" s="11"/>
    </row>
    <row r="6" spans="2:10" ht="13.5" thickBot="1" x14ac:dyDescent="0.35">
      <c r="B6" s="7"/>
      <c r="C6" s="387" t="s">
        <v>1</v>
      </c>
      <c r="D6" s="388"/>
      <c r="E6" s="388"/>
      <c r="F6" s="388"/>
      <c r="G6" s="389"/>
      <c r="H6" s="398" t="s">
        <v>2</v>
      </c>
    </row>
    <row r="7" spans="2:10" ht="13.5" thickBot="1" x14ac:dyDescent="0.35">
      <c r="B7" s="8"/>
      <c r="C7" s="168" t="str">
        <f>'SUD Without Waiver'!G4</f>
        <v>DY 01</v>
      </c>
      <c r="D7" s="169" t="str">
        <f>'SUD Without Waiver'!H4</f>
        <v>DY 02</v>
      </c>
      <c r="E7" s="169" t="str">
        <f>'SUD Without Waiver'!I4</f>
        <v>DY 03</v>
      </c>
      <c r="F7" s="169" t="str">
        <f>'SUD Without Waiver'!J4</f>
        <v>DY 04</v>
      </c>
      <c r="G7" s="170" t="str">
        <f>'SUD Without Waiver'!K4</f>
        <v>DY 05</v>
      </c>
      <c r="H7" s="399"/>
    </row>
    <row r="8" spans="2:10" x14ac:dyDescent="0.3">
      <c r="B8" s="203" t="str">
        <f>'SUD Without Waiver'!B6</f>
        <v>Medicaid Adults</v>
      </c>
      <c r="C8" s="204">
        <f>'SUD Without Waiver'!G10</f>
        <v>667895</v>
      </c>
      <c r="D8" s="205">
        <f>'SUD Without Waiver'!H10</f>
        <v>619468</v>
      </c>
      <c r="E8" s="205">
        <f>'SUD Without Waiver'!I10</f>
        <v>1072492.74</v>
      </c>
      <c r="F8" s="205">
        <f>'SUD Without Waiver'!J10</f>
        <v>1161507.3799999999</v>
      </c>
      <c r="G8" s="207">
        <f>'SUD Without Waiver'!K10</f>
        <v>1262430.9792827819</v>
      </c>
      <c r="H8" s="209">
        <f>SUM(C8:G8)</f>
        <v>4783794.0992827825</v>
      </c>
    </row>
    <row r="9" spans="2:10" x14ac:dyDescent="0.3">
      <c r="B9" s="202" t="str">
        <f>'SUD Without Waiver'!B12</f>
        <v>Expansion Adults</v>
      </c>
      <c r="C9" s="206">
        <f>'SUD Without Waiver'!G16</f>
        <v>2317696</v>
      </c>
      <c r="D9" s="116">
        <f>'SUD Without Waiver'!H16</f>
        <v>2845464</v>
      </c>
      <c r="E9" s="116">
        <f>'SUD Without Waiver'!I16</f>
        <v>8081355.96</v>
      </c>
      <c r="F9" s="116">
        <f>'SUD Without Waiver'!J16</f>
        <v>8598582.0200000014</v>
      </c>
      <c r="G9" s="148">
        <f>'SUD Without Waiver'!K16</f>
        <v>9178960.4721698333</v>
      </c>
      <c r="H9" s="159">
        <f t="shared" ref="H9:H11" si="0">SUM(C9:G9)</f>
        <v>31022058.452169836</v>
      </c>
    </row>
    <row r="10" spans="2:10" x14ac:dyDescent="0.3">
      <c r="B10" s="202" t="str">
        <f>'SUD Without Waiver'!B18</f>
        <v>Adolescents</v>
      </c>
      <c r="C10" s="206">
        <f>'SUD Without Waiver'!G22</f>
        <v>42402</v>
      </c>
      <c r="D10" s="116">
        <f>'SUD Without Waiver'!H22</f>
        <v>34510</v>
      </c>
      <c r="E10" s="116">
        <f>'SUD Without Waiver'!I22</f>
        <v>88835.4</v>
      </c>
      <c r="F10" s="116">
        <f>'SUD Without Waiver'!J22</f>
        <v>94787.1</v>
      </c>
      <c r="G10" s="148">
        <f>'SUD Without Waiver'!K22</f>
        <v>101137.5</v>
      </c>
      <c r="H10" s="162">
        <f t="shared" si="0"/>
        <v>361672</v>
      </c>
    </row>
    <row r="11" spans="2:10" ht="13.5" thickBot="1" x14ac:dyDescent="0.35">
      <c r="B11" s="360" t="str">
        <f>'SUD Without Waiver'!B24</f>
        <v>Non-Qualified Waiver Nursing Facility Population</v>
      </c>
      <c r="C11" s="357">
        <f>'SUD Without Waiver'!G28</f>
        <v>0</v>
      </c>
      <c r="D11" s="358">
        <f>'SUD Without Waiver'!H28</f>
        <v>0</v>
      </c>
      <c r="E11" s="358">
        <f>'SUD Without Waiver'!I28</f>
        <v>0</v>
      </c>
      <c r="F11" s="358">
        <f>'SUD Without Waiver'!J28</f>
        <v>0</v>
      </c>
      <c r="G11" s="359">
        <f>'SUD Without Waiver'!K28</f>
        <v>12874.52241495049</v>
      </c>
      <c r="H11" s="162">
        <f t="shared" si="0"/>
        <v>12874.52241495049</v>
      </c>
    </row>
    <row r="12" spans="2:10" ht="13.5" thickBot="1" x14ac:dyDescent="0.35">
      <c r="B12" s="9" t="s">
        <v>8</v>
      </c>
      <c r="C12" s="171">
        <f>SUM(C8:C11)</f>
        <v>3027993</v>
      </c>
      <c r="D12" s="161">
        <f t="shared" ref="D12:H12" si="1">SUM(D8:D11)</f>
        <v>3499442</v>
      </c>
      <c r="E12" s="161">
        <f t="shared" si="1"/>
        <v>9242684.0999999996</v>
      </c>
      <c r="F12" s="161">
        <f t="shared" si="1"/>
        <v>9854876.5000000019</v>
      </c>
      <c r="G12" s="208">
        <f t="shared" si="1"/>
        <v>10555403.473867565</v>
      </c>
      <c r="H12" s="236">
        <f t="shared" si="1"/>
        <v>36180399.073867574</v>
      </c>
    </row>
    <row r="13" spans="2:10" x14ac:dyDescent="0.3">
      <c r="B13" s="90"/>
      <c r="C13" s="32"/>
      <c r="D13" s="32"/>
      <c r="E13" s="32"/>
      <c r="F13" s="32"/>
      <c r="G13" s="32"/>
      <c r="H13" s="31"/>
    </row>
    <row r="14" spans="2:10" ht="13.5" thickBot="1" x14ac:dyDescent="0.35">
      <c r="B14" s="91" t="s">
        <v>9</v>
      </c>
      <c r="C14" s="89"/>
      <c r="D14" s="89"/>
      <c r="E14" s="89"/>
      <c r="F14" s="89"/>
      <c r="G14" s="89"/>
      <c r="H14" s="92"/>
    </row>
    <row r="15" spans="2:10" ht="13.5" thickBot="1" x14ac:dyDescent="0.35">
      <c r="B15" s="167"/>
      <c r="C15" s="168" t="str">
        <f>C7</f>
        <v>DY 01</v>
      </c>
      <c r="D15" s="169" t="str">
        <f>D7</f>
        <v>DY 02</v>
      </c>
      <c r="E15" s="169" t="str">
        <f>E7</f>
        <v>DY 03</v>
      </c>
      <c r="F15" s="169" t="str">
        <f>F7</f>
        <v>DY 04</v>
      </c>
      <c r="G15" s="170" t="str">
        <f>G7</f>
        <v>DY 05</v>
      </c>
      <c r="H15" s="88" t="s">
        <v>8</v>
      </c>
    </row>
    <row r="16" spans="2:10" x14ac:dyDescent="0.3">
      <c r="B16" s="158" t="str">
        <f>B8</f>
        <v>Medicaid Adults</v>
      </c>
      <c r="C16" s="163">
        <f>'SUD With Waiver'!E10</f>
        <v>667895</v>
      </c>
      <c r="D16" s="164">
        <f>'SUD With Waiver'!F10</f>
        <v>619468</v>
      </c>
      <c r="E16" s="164">
        <f>'SUD With Waiver'!G10</f>
        <v>1072492.74</v>
      </c>
      <c r="F16" s="164">
        <f>'SUD With Waiver'!H10</f>
        <v>1161507.3799999999</v>
      </c>
      <c r="G16" s="164">
        <f>'SUD With Waiver'!I10</f>
        <v>1262430.9792827819</v>
      </c>
      <c r="H16" s="165">
        <f>SUM(C16:G16)</f>
        <v>4783794.0992827825</v>
      </c>
    </row>
    <row r="17" spans="2:10" x14ac:dyDescent="0.3">
      <c r="B17" s="158" t="str">
        <f>B9</f>
        <v>Expansion Adults</v>
      </c>
      <c r="C17" s="163">
        <f>'SUD With Waiver'!E16</f>
        <v>2317696</v>
      </c>
      <c r="D17" s="163">
        <f>'SUD With Waiver'!F16</f>
        <v>2845464</v>
      </c>
      <c r="E17" s="163">
        <f>'SUD With Waiver'!G16</f>
        <v>8081355.96</v>
      </c>
      <c r="F17" s="163">
        <f>'SUD With Waiver'!H16</f>
        <v>8598582.0200000014</v>
      </c>
      <c r="G17" s="163">
        <f>'SUD With Waiver'!I16</f>
        <v>9178960.4721698333</v>
      </c>
      <c r="H17" s="165">
        <f t="shared" ref="H17:H19" si="2">SUM(C17:G17)</f>
        <v>31022058.452169836</v>
      </c>
    </row>
    <row r="18" spans="2:10" x14ac:dyDescent="0.3">
      <c r="B18" s="158" t="str">
        <f>B10</f>
        <v>Adolescents</v>
      </c>
      <c r="C18" s="163">
        <f>'SUD With Waiver'!E22</f>
        <v>42402</v>
      </c>
      <c r="D18" s="163">
        <f>'SUD With Waiver'!F22</f>
        <v>34510</v>
      </c>
      <c r="E18" s="163">
        <f>'SUD With Waiver'!G22</f>
        <v>88835.4</v>
      </c>
      <c r="F18" s="163">
        <f>'SUD With Waiver'!H22</f>
        <v>94787.1</v>
      </c>
      <c r="G18" s="163">
        <f>'SUD With Waiver'!I22</f>
        <v>101137.5</v>
      </c>
      <c r="H18" s="165">
        <f t="shared" si="2"/>
        <v>361672</v>
      </c>
    </row>
    <row r="19" spans="2:10" ht="13.5" thickBot="1" x14ac:dyDescent="0.35">
      <c r="B19" s="158" t="str">
        <f>B11</f>
        <v>Non-Qualified Waiver Nursing Facility Population</v>
      </c>
      <c r="C19" s="356">
        <f>'SUD With Waiver'!E28</f>
        <v>0</v>
      </c>
      <c r="D19" s="356">
        <f>'SUD With Waiver'!F28</f>
        <v>0</v>
      </c>
      <c r="E19" s="356">
        <f>'SUD With Waiver'!G28</f>
        <v>0</v>
      </c>
      <c r="F19" s="356">
        <f>'SUD With Waiver'!H28</f>
        <v>0</v>
      </c>
      <c r="G19" s="32">
        <f>'SUD With Waiver'!I28</f>
        <v>12874.52241495049</v>
      </c>
      <c r="H19" s="165">
        <f t="shared" si="2"/>
        <v>12874.52241495049</v>
      </c>
    </row>
    <row r="20" spans="2:10" ht="13.5" thickBot="1" x14ac:dyDescent="0.35">
      <c r="B20" s="9" t="s">
        <v>8</v>
      </c>
      <c r="C20" s="171">
        <f>SUM(C16:C19)</f>
        <v>3027993</v>
      </c>
      <c r="D20" s="161">
        <f t="shared" ref="D20" si="3">SUM(D16:D19)</f>
        <v>3499442</v>
      </c>
      <c r="E20" s="161">
        <f t="shared" ref="E20" si="4">SUM(E16:E19)</f>
        <v>9242684.0999999996</v>
      </c>
      <c r="F20" s="161">
        <f t="shared" ref="F20" si="5">SUM(F16:F19)</f>
        <v>9854876.5000000019</v>
      </c>
      <c r="G20" s="208">
        <f t="shared" ref="G20" si="6">SUM(G16:G19)</f>
        <v>10555403.473867565</v>
      </c>
      <c r="H20" s="236">
        <f t="shared" ref="H20" si="7">SUM(H16:H19)</f>
        <v>36180399.073867574</v>
      </c>
    </row>
    <row r="21" spans="2:10" ht="15.75" customHeight="1" thickBot="1" x14ac:dyDescent="0.35">
      <c r="B21" s="395"/>
      <c r="C21" s="396"/>
      <c r="D21" s="396"/>
      <c r="E21" s="396"/>
      <c r="F21" s="396"/>
      <c r="G21" s="396"/>
      <c r="H21" s="397"/>
    </row>
    <row r="22" spans="2:10" s="64" customFormat="1" ht="13.5" thickBot="1" x14ac:dyDescent="0.4">
      <c r="B22" s="160" t="s">
        <v>83</v>
      </c>
      <c r="C22" s="171">
        <f t="shared" ref="C22:H22" si="8">C12-C20</f>
        <v>0</v>
      </c>
      <c r="D22" s="161">
        <f t="shared" si="8"/>
        <v>0</v>
      </c>
      <c r="E22" s="161">
        <f t="shared" si="8"/>
        <v>0</v>
      </c>
      <c r="F22" s="161">
        <f t="shared" si="8"/>
        <v>0</v>
      </c>
      <c r="G22" s="172">
        <f t="shared" si="8"/>
        <v>0</v>
      </c>
      <c r="H22" s="166">
        <f t="shared" si="8"/>
        <v>0</v>
      </c>
      <c r="J22" s="58"/>
    </row>
    <row r="24" spans="2:10" x14ac:dyDescent="0.3">
      <c r="B24" s="235" t="str">
        <f>'SUD Overview'!D7</f>
        <v>SUD IMD Hypothetical CNOM Services Limit</v>
      </c>
    </row>
    <row r="25" spans="2:10" ht="13.5" thickBot="1" x14ac:dyDescent="0.35">
      <c r="B25" s="6" t="s">
        <v>0</v>
      </c>
      <c r="C25" s="29"/>
      <c r="D25" s="29"/>
      <c r="E25" s="29"/>
      <c r="F25" s="29"/>
      <c r="G25" s="29"/>
      <c r="H25" s="5"/>
    </row>
    <row r="26" spans="2:10" ht="13.5" thickBot="1" x14ac:dyDescent="0.35">
      <c r="B26" s="7"/>
      <c r="C26" s="387" t="s">
        <v>1</v>
      </c>
      <c r="D26" s="388"/>
      <c r="E26" s="388"/>
      <c r="F26" s="388"/>
      <c r="G26" s="389"/>
      <c r="H26" s="398" t="s">
        <v>2</v>
      </c>
    </row>
    <row r="27" spans="2:10" ht="13.5" thickBot="1" x14ac:dyDescent="0.35">
      <c r="B27" s="8"/>
      <c r="C27" s="307" t="str">
        <f>C7</f>
        <v>DY 01</v>
      </c>
      <c r="D27" s="308" t="str">
        <f>D7</f>
        <v>DY 02</v>
      </c>
      <c r="E27" s="308" t="str">
        <f>E7</f>
        <v>DY 03</v>
      </c>
      <c r="F27" s="308" t="str">
        <f>F7</f>
        <v>DY 04</v>
      </c>
      <c r="G27" s="309" t="str">
        <f>G7</f>
        <v>DY 05</v>
      </c>
      <c r="H27" s="399"/>
    </row>
    <row r="28" spans="2:10" ht="13.5" thickBot="1" x14ac:dyDescent="0.35">
      <c r="B28" s="203" t="str">
        <f>'SUD Without Waiver'!B30</f>
        <v>SUD IMD Hypothetical Services CNOM MEG</v>
      </c>
      <c r="C28" s="171">
        <f>'SUD Without Waiver'!G33</f>
        <v>0</v>
      </c>
      <c r="D28" s="161">
        <f>'SUD Without Waiver'!H33</f>
        <v>0</v>
      </c>
      <c r="E28" s="161">
        <f>'SUD Without Waiver'!I33</f>
        <v>0</v>
      </c>
      <c r="F28" s="161">
        <f>'SUD Without Waiver'!J33</f>
        <v>0</v>
      </c>
      <c r="G28" s="172">
        <f>'SUD Without Waiver'!K33</f>
        <v>0</v>
      </c>
      <c r="H28" s="306">
        <f>SUM(C28:G28)</f>
        <v>0</v>
      </c>
    </row>
    <row r="29" spans="2:10" ht="13.5" thickBot="1" x14ac:dyDescent="0.35">
      <c r="B29" s="9" t="s">
        <v>8</v>
      </c>
      <c r="C29" s="310">
        <f t="shared" ref="C29:H29" si="9">SUM(C28:C28)</f>
        <v>0</v>
      </c>
      <c r="D29" s="311">
        <f t="shared" si="9"/>
        <v>0</v>
      </c>
      <c r="E29" s="311">
        <f t="shared" si="9"/>
        <v>0</v>
      </c>
      <c r="F29" s="311">
        <f t="shared" si="9"/>
        <v>0</v>
      </c>
      <c r="G29" s="312">
        <f t="shared" si="9"/>
        <v>0</v>
      </c>
      <c r="H29" s="12">
        <f t="shared" si="9"/>
        <v>0</v>
      </c>
    </row>
    <row r="30" spans="2:10" x14ac:dyDescent="0.3">
      <c r="B30" s="90"/>
      <c r="C30" s="32"/>
      <c r="D30" s="32"/>
      <c r="E30" s="32"/>
      <c r="F30" s="32"/>
      <c r="G30" s="32"/>
      <c r="H30" s="31"/>
    </row>
    <row r="31" spans="2:10" ht="13.5" thickBot="1" x14ac:dyDescent="0.35">
      <c r="B31" s="91" t="s">
        <v>9</v>
      </c>
      <c r="C31" s="89"/>
      <c r="D31" s="89"/>
      <c r="E31" s="89"/>
      <c r="F31" s="89"/>
      <c r="G31" s="89"/>
      <c r="H31" s="92"/>
    </row>
    <row r="32" spans="2:10" ht="13.5" thickBot="1" x14ac:dyDescent="0.35">
      <c r="B32" s="167"/>
      <c r="C32" s="168" t="str">
        <f>C27</f>
        <v>DY 01</v>
      </c>
      <c r="D32" s="169" t="str">
        <f>D27</f>
        <v>DY 02</v>
      </c>
      <c r="E32" s="169" t="str">
        <f>E27</f>
        <v>DY 03</v>
      </c>
      <c r="F32" s="169" t="str">
        <f>F27</f>
        <v>DY 04</v>
      </c>
      <c r="G32" s="170" t="str">
        <f>G27</f>
        <v>DY 05</v>
      </c>
      <c r="H32" s="88" t="s">
        <v>8</v>
      </c>
    </row>
    <row r="33" spans="2:8" ht="13.5" thickBot="1" x14ac:dyDescent="0.35">
      <c r="B33" s="158" t="str">
        <f>B28</f>
        <v>SUD IMD Hypothetical Services CNOM MEG</v>
      </c>
      <c r="C33" s="163">
        <f>'SUD With Waiver'!E33</f>
        <v>0</v>
      </c>
      <c r="D33" s="163">
        <f>'SUD With Waiver'!F33</f>
        <v>0</v>
      </c>
      <c r="E33" s="163">
        <f>'SUD With Waiver'!G33</f>
        <v>0</v>
      </c>
      <c r="F33" s="163">
        <f>'SUD With Waiver'!H33</f>
        <v>0</v>
      </c>
      <c r="G33" s="163">
        <f>'SUD With Waiver'!I33</f>
        <v>0</v>
      </c>
      <c r="H33" s="165">
        <f>SUM(C33:G33)</f>
        <v>0</v>
      </c>
    </row>
    <row r="34" spans="2:8" ht="13.5" thickBot="1" x14ac:dyDescent="0.35">
      <c r="B34" s="9" t="s">
        <v>8</v>
      </c>
      <c r="C34" s="171">
        <f t="shared" ref="C34:H34" si="10">SUM(C33:C33)</f>
        <v>0</v>
      </c>
      <c r="D34" s="161">
        <f t="shared" si="10"/>
        <v>0</v>
      </c>
      <c r="E34" s="161">
        <f t="shared" si="10"/>
        <v>0</v>
      </c>
      <c r="F34" s="161">
        <f t="shared" si="10"/>
        <v>0</v>
      </c>
      <c r="G34" s="172">
        <f t="shared" si="10"/>
        <v>0</v>
      </c>
      <c r="H34" s="12">
        <f t="shared" si="10"/>
        <v>0</v>
      </c>
    </row>
    <row r="35" spans="2:8" ht="13.5" thickBot="1" x14ac:dyDescent="0.35">
      <c r="B35" s="395"/>
      <c r="C35" s="396"/>
      <c r="D35" s="396"/>
      <c r="E35" s="396"/>
      <c r="F35" s="396"/>
      <c r="G35" s="396"/>
      <c r="H35" s="397"/>
    </row>
    <row r="36" spans="2:8" ht="13.5" thickBot="1" x14ac:dyDescent="0.35">
      <c r="B36" s="160" t="s">
        <v>83</v>
      </c>
      <c r="C36" s="171">
        <f t="shared" ref="C36:H36" si="11">C29-C34</f>
        <v>0</v>
      </c>
      <c r="D36" s="161">
        <f t="shared" si="11"/>
        <v>0</v>
      </c>
      <c r="E36" s="161">
        <f t="shared" si="11"/>
        <v>0</v>
      </c>
      <c r="F36" s="161">
        <f t="shared" si="11"/>
        <v>0</v>
      </c>
      <c r="G36" s="172">
        <f t="shared" si="11"/>
        <v>0</v>
      </c>
      <c r="H36" s="166">
        <f t="shared" si="11"/>
        <v>0</v>
      </c>
    </row>
    <row r="38" spans="2:8" x14ac:dyDescent="0.3">
      <c r="B38" s="237" t="s">
        <v>96</v>
      </c>
    </row>
    <row r="39" spans="2:8" ht="13.5" thickBot="1" x14ac:dyDescent="0.35">
      <c r="B39" s="237" t="str">
        <f>B14</f>
        <v>With-Waiver Total Expenditures</v>
      </c>
    </row>
    <row r="40" spans="2:8" ht="13.5" thickBot="1" x14ac:dyDescent="0.35">
      <c r="B40" s="240"/>
      <c r="C40" s="400" t="str">
        <f>C6</f>
        <v>DEMONSTRATION YEARS (DY)</v>
      </c>
      <c r="D40" s="401"/>
      <c r="E40" s="401"/>
      <c r="F40" s="401"/>
      <c r="G40" s="402"/>
      <c r="H40" s="403" t="s">
        <v>8</v>
      </c>
    </row>
    <row r="41" spans="2:8" ht="13.5" thickBot="1" x14ac:dyDescent="0.35">
      <c r="B41" s="243"/>
      <c r="C41" s="239" t="str">
        <f>C7</f>
        <v>DY 01</v>
      </c>
      <c r="D41" s="238" t="str">
        <f t="shared" ref="D41:G41" si="12">D7</f>
        <v>DY 02</v>
      </c>
      <c r="E41" s="238" t="str">
        <f t="shared" si="12"/>
        <v>DY 03</v>
      </c>
      <c r="F41" s="238" t="str">
        <f t="shared" si="12"/>
        <v>DY 04</v>
      </c>
      <c r="G41" s="242" t="str">
        <f t="shared" si="12"/>
        <v>DY 05</v>
      </c>
      <c r="H41" s="404"/>
    </row>
    <row r="42" spans="2:8" ht="13.5" thickBot="1" x14ac:dyDescent="0.35">
      <c r="B42" s="248" t="str">
        <f>'SUD With Waiver'!B35</f>
        <v>SUD IMD Non-Hypothetical Services CNOM MEG</v>
      </c>
      <c r="C42" s="244">
        <f>'SUD With Waiver'!E38</f>
        <v>0</v>
      </c>
      <c r="D42" s="245">
        <f>'SUD With Waiver'!F38</f>
        <v>0</v>
      </c>
      <c r="E42" s="245">
        <f>'SUD With Waiver'!G38</f>
        <v>0</v>
      </c>
      <c r="F42" s="245">
        <f>'SUD With Waiver'!H38</f>
        <v>0</v>
      </c>
      <c r="G42" s="246">
        <f>'SUD With Waiver'!I38</f>
        <v>0</v>
      </c>
      <c r="H42" s="249">
        <f>SUM(C42:G42)</f>
        <v>0</v>
      </c>
    </row>
    <row r="43" spans="2:8" ht="13.5" thickBot="1" x14ac:dyDescent="0.35">
      <c r="B43" s="147" t="s">
        <v>8</v>
      </c>
      <c r="C43" s="247">
        <f>SUM(C42)</f>
        <v>0</v>
      </c>
      <c r="D43" s="247">
        <f t="shared" ref="D43:G43" si="13">SUM(D42)</f>
        <v>0</v>
      </c>
      <c r="E43" s="247">
        <f t="shared" si="13"/>
        <v>0</v>
      </c>
      <c r="F43" s="247">
        <f t="shared" si="13"/>
        <v>0</v>
      </c>
      <c r="G43" s="247">
        <f t="shared" si="13"/>
        <v>0</v>
      </c>
      <c r="H43" s="241">
        <f>SUM(H42)</f>
        <v>0</v>
      </c>
    </row>
    <row r="45" spans="2:8" ht="13.5" thickBot="1" x14ac:dyDescent="0.35">
      <c r="B45" s="293" t="s">
        <v>130</v>
      </c>
    </row>
    <row r="46" spans="2:8" ht="13.5" thickBot="1" x14ac:dyDescent="0.35">
      <c r="B46" s="288" t="s">
        <v>128</v>
      </c>
      <c r="C46" s="238" t="s">
        <v>104</v>
      </c>
      <c r="D46" s="238" t="str">
        <f>'SUD Without Waiver'!G4</f>
        <v>DY 01</v>
      </c>
      <c r="E46" s="238" t="str">
        <f>'SUD Without Waiver'!H4</f>
        <v>DY 02</v>
      </c>
      <c r="F46" s="238" t="str">
        <f>'SUD Without Waiver'!I4</f>
        <v>DY 03</v>
      </c>
      <c r="G46" s="238" t="str">
        <f>'SUD Without Waiver'!J4</f>
        <v>DY 04</v>
      </c>
      <c r="H46" s="289" t="str">
        <f>'SUD Without Waiver'!K4</f>
        <v>DY 05</v>
      </c>
    </row>
    <row r="47" spans="2:8" x14ac:dyDescent="0.3">
      <c r="B47" s="290" t="str">
        <f>'SUD Without Waiver'!B6</f>
        <v>Medicaid Adults</v>
      </c>
      <c r="C47" s="294">
        <f>'SUD Without Waiver'!F8</f>
        <v>8.3000000000000004E-2</v>
      </c>
      <c r="D47" s="332">
        <f>SUM('SUD Without Waiver'!G8:G9)</f>
        <v>961</v>
      </c>
      <c r="E47" s="332">
        <f>SUM('SUD Without Waiver'!H8:H9)</f>
        <v>1004</v>
      </c>
      <c r="F47" s="332">
        <f>SUM('SUD Without Waiver'!I8:I9)</f>
        <v>1572.57</v>
      </c>
      <c r="G47" s="332">
        <f>SUM('SUD Without Waiver'!J8:J9)</f>
        <v>1703.09</v>
      </c>
      <c r="H47" s="333">
        <f>SUM('SUD Without Waiver'!K8:K9)</f>
        <v>1851.0718171301787</v>
      </c>
    </row>
    <row r="48" spans="2:8" x14ac:dyDescent="0.3">
      <c r="B48" s="291" t="str">
        <f>'SUD Without Waiver'!B12</f>
        <v>Expansion Adults</v>
      </c>
      <c r="C48" s="295">
        <f>'SUD Without Waiver'!F14</f>
        <v>6.4000000000000001E-2</v>
      </c>
      <c r="D48" s="334">
        <f>SUM('SUD Without Waiver'!G14:G15)</f>
        <v>608</v>
      </c>
      <c r="E48" s="334">
        <f>SUM('SUD Without Waiver'!H14:H15)</f>
        <v>636</v>
      </c>
      <c r="F48" s="334">
        <f>SUM('SUD Without Waiver'!I14:I15)</f>
        <v>1643.22</v>
      </c>
      <c r="G48" s="334">
        <f>SUM('SUD Without Waiver'!J14:J15)</f>
        <v>1748.39</v>
      </c>
      <c r="H48" s="335">
        <f>SUM('SUD Without Waiver'!K14:K15)</f>
        <v>1866.4010720150129</v>
      </c>
    </row>
    <row r="49" spans="2:8" x14ac:dyDescent="0.3">
      <c r="B49" s="291" t="str">
        <f>'SUD Without Waiver'!B18</f>
        <v>Adolescents</v>
      </c>
      <c r="C49" s="295">
        <f>'SUD Without Waiver'!F20</f>
        <v>6.7000000000000004E-2</v>
      </c>
      <c r="D49" s="334">
        <f>SUM('SUD Without Waiver'!G20:G21)</f>
        <v>573</v>
      </c>
      <c r="E49" s="334">
        <f>SUM('SUD Without Waiver'!H20:H21)</f>
        <v>595</v>
      </c>
      <c r="F49" s="334">
        <f>SUM('SUD Without Waiver'!I20:I21)</f>
        <v>987.06</v>
      </c>
      <c r="G49" s="334">
        <f>SUM('SUD Without Waiver'!J20:J21)</f>
        <v>1053.19</v>
      </c>
      <c r="H49" s="335">
        <f>SUM('SUD Without Waiver'!K20:K21)</f>
        <v>1123.75</v>
      </c>
    </row>
    <row r="50" spans="2:8" x14ac:dyDescent="0.3">
      <c r="B50" s="362" t="str">
        <f>'SUD Without Waiver'!B24</f>
        <v>Non-Qualified Waiver Nursing Facility Population</v>
      </c>
      <c r="C50" s="295">
        <f>'SUD Without Waiver'!F26</f>
        <v>4.9000000000000002E-2</v>
      </c>
      <c r="D50" s="334">
        <f>SUM('SUD Without Waiver'!G26:G27)</f>
        <v>0</v>
      </c>
      <c r="E50" s="334">
        <f>SUM('SUD Without Waiver'!H26:H27)</f>
        <v>0</v>
      </c>
      <c r="F50" s="334">
        <f>SUM('SUD Without Waiver'!I26:I27)</f>
        <v>0</v>
      </c>
      <c r="G50" s="334">
        <f>SUM('SUD Without Waiver'!J26:J27)</f>
        <v>0</v>
      </c>
      <c r="H50" s="335">
        <f>SUM('SUD Without Waiver'!K26:K27)</f>
        <v>1.4004222378606848</v>
      </c>
    </row>
    <row r="51" spans="2:8" ht="13.5" thickBot="1" x14ac:dyDescent="0.35">
      <c r="B51" s="292" t="str">
        <f>'SUD Without Waiver'!B30</f>
        <v>SUD IMD Hypothetical Services CNOM MEG</v>
      </c>
      <c r="C51" s="296">
        <f>'SUD Without Waiver'!F32</f>
        <v>4.9000000000000002E-2</v>
      </c>
      <c r="D51" s="336">
        <f>'SUD Without Waiver'!G32</f>
        <v>0</v>
      </c>
      <c r="E51" s="336">
        <f>'SUD Without Waiver'!H32</f>
        <v>0</v>
      </c>
      <c r="F51" s="336">
        <f>'SUD Without Waiver'!I32</f>
        <v>0</v>
      </c>
      <c r="G51" s="336">
        <f>'SUD Without Waiver'!J32</f>
        <v>0</v>
      </c>
      <c r="H51" s="337">
        <f>'SUD Without Waiver'!K32</f>
        <v>0</v>
      </c>
    </row>
    <row r="53" spans="2:8" x14ac:dyDescent="0.3">
      <c r="C53" s="10"/>
      <c r="D53" s="10"/>
      <c r="E53" s="10"/>
      <c r="F53" s="10"/>
      <c r="G53" s="10"/>
      <c r="H53" s="10"/>
    </row>
    <row r="54" spans="2:8" x14ac:dyDescent="0.3">
      <c r="C54" s="10"/>
      <c r="D54" s="10"/>
      <c r="E54" s="10"/>
      <c r="F54" s="10"/>
      <c r="G54" s="10"/>
      <c r="H54" s="10"/>
    </row>
    <row r="55" spans="2:8" x14ac:dyDescent="0.3">
      <c r="C55" s="10"/>
      <c r="D55" s="10"/>
      <c r="E55" s="10"/>
      <c r="F55" s="10"/>
      <c r="G55" s="10"/>
      <c r="H55" s="10"/>
    </row>
    <row r="56" spans="2:8" x14ac:dyDescent="0.3">
      <c r="C56" s="10"/>
      <c r="D56" s="10"/>
      <c r="E56" s="10"/>
      <c r="F56" s="10"/>
      <c r="G56" s="10"/>
      <c r="H56" s="10"/>
    </row>
    <row r="57" spans="2:8" x14ac:dyDescent="0.3">
      <c r="C57" s="10"/>
      <c r="D57" s="10"/>
      <c r="E57" s="10"/>
      <c r="F57" s="10"/>
      <c r="G57" s="10"/>
      <c r="H57" s="10"/>
    </row>
    <row r="58" spans="2:8" x14ac:dyDescent="0.3">
      <c r="C58" s="10"/>
      <c r="D58" s="10"/>
      <c r="E58" s="10"/>
      <c r="F58" s="10"/>
      <c r="G58" s="10"/>
      <c r="H58" s="10"/>
    </row>
    <row r="59" spans="2:8" x14ac:dyDescent="0.3">
      <c r="C59" s="10"/>
      <c r="D59" s="10"/>
      <c r="E59" s="10"/>
      <c r="F59" s="10"/>
      <c r="G59" s="10"/>
      <c r="H59" s="10"/>
    </row>
    <row r="60" spans="2:8" x14ac:dyDescent="0.3">
      <c r="C60" s="10"/>
      <c r="D60" s="10"/>
      <c r="E60" s="10"/>
      <c r="F60" s="10"/>
      <c r="G60" s="10"/>
      <c r="H60" s="10"/>
    </row>
    <row r="61" spans="2:8" x14ac:dyDescent="0.3">
      <c r="C61" s="10"/>
      <c r="D61" s="10"/>
      <c r="E61" s="10"/>
      <c r="F61" s="10"/>
      <c r="G61" s="10"/>
      <c r="H61" s="10"/>
    </row>
  </sheetData>
  <mergeCells count="8">
    <mergeCell ref="B21:H21"/>
    <mergeCell ref="C6:G6"/>
    <mergeCell ref="H6:H7"/>
    <mergeCell ref="C40:G40"/>
    <mergeCell ref="H40:H41"/>
    <mergeCell ref="C26:G26"/>
    <mergeCell ref="H26:H27"/>
    <mergeCell ref="B35:H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workbookViewId="0">
      <selection activeCell="B7" sqref="B7"/>
    </sheetView>
  </sheetViews>
  <sheetFormatPr defaultColWidth="9.1796875" defaultRowHeight="13" x14ac:dyDescent="0.3"/>
  <cols>
    <col min="1" max="1" width="9.1796875" style="10"/>
    <col min="2" max="2" width="44.453125" style="25" bestFit="1" customWidth="1"/>
    <col min="3" max="3" width="10.7265625" style="25" customWidth="1"/>
    <col min="4" max="8" width="15.7265625" style="33" customWidth="1"/>
    <col min="9" max="16384" width="9.1796875" style="10"/>
  </cols>
  <sheetData>
    <row r="1" spans="2:8" ht="13.5" thickBot="1" x14ac:dyDescent="0.35"/>
    <row r="2" spans="2:8" ht="13.5" thickBot="1" x14ac:dyDescent="0.35">
      <c r="B2" s="22" t="s">
        <v>90</v>
      </c>
      <c r="C2" s="23"/>
      <c r="D2" s="405" t="s">
        <v>1</v>
      </c>
      <c r="E2" s="406"/>
      <c r="F2" s="406"/>
      <c r="G2" s="406"/>
      <c r="H2" s="407"/>
    </row>
    <row r="3" spans="2:8" ht="13.5" thickBot="1" x14ac:dyDescent="0.35">
      <c r="B3" s="23"/>
      <c r="C3" s="274" t="s">
        <v>104</v>
      </c>
      <c r="D3" s="257" t="str">
        <f>'SUD Without Waiver'!G4</f>
        <v>DY 01</v>
      </c>
      <c r="E3" s="94" t="str">
        <f>'SUD Without Waiver'!H4</f>
        <v>DY 02</v>
      </c>
      <c r="F3" s="95" t="str">
        <f>'SUD Without Waiver'!I4</f>
        <v>DY 03</v>
      </c>
      <c r="G3" s="95" t="str">
        <f>'SUD Without Waiver'!J4</f>
        <v>DY 04</v>
      </c>
      <c r="H3" s="96" t="str">
        <f>'SUD Without Waiver'!K4</f>
        <v>DY 05</v>
      </c>
    </row>
    <row r="4" spans="2:8" s="24" customFormat="1" x14ac:dyDescent="0.3">
      <c r="B4" s="67" t="str">
        <f>'SUD Summary'!B16</f>
        <v>Medicaid Adults</v>
      </c>
      <c r="C4" s="275">
        <v>0</v>
      </c>
      <c r="D4" s="343">
        <f>'SUD Historical'!F6</f>
        <v>695</v>
      </c>
      <c r="E4" s="344">
        <f>'SUD Historical'!G6</f>
        <v>617</v>
      </c>
      <c r="F4" s="251">
        <v>682</v>
      </c>
      <c r="G4" s="251">
        <f t="shared" ref="G4:H4" si="0">F4*(1+$C$4)</f>
        <v>682</v>
      </c>
      <c r="H4" s="252">
        <f t="shared" si="0"/>
        <v>682</v>
      </c>
    </row>
    <row r="5" spans="2:8" x14ac:dyDescent="0.3">
      <c r="B5" s="68" t="str">
        <f>'SUD Summary'!B17</f>
        <v>Expansion Adults</v>
      </c>
      <c r="C5" s="275">
        <v>0</v>
      </c>
      <c r="D5" s="345">
        <f>'SUD Historical'!F15</f>
        <v>3812</v>
      </c>
      <c r="E5" s="346">
        <f>'SUD Historical'!G15</f>
        <v>4474</v>
      </c>
      <c r="F5" s="253">
        <v>4918</v>
      </c>
      <c r="G5" s="253">
        <f t="shared" ref="G5:H6" si="1">F5*(1+$C$5)</f>
        <v>4918</v>
      </c>
      <c r="H5" s="254">
        <f t="shared" si="1"/>
        <v>4918</v>
      </c>
    </row>
    <row r="6" spans="2:8" x14ac:dyDescent="0.3">
      <c r="B6" s="68" t="str">
        <f>'SUD Summary'!B18</f>
        <v>Adolescents</v>
      </c>
      <c r="C6" s="275">
        <v>0</v>
      </c>
      <c r="D6" s="345">
        <f>'SUD Historical'!F24</f>
        <v>74</v>
      </c>
      <c r="E6" s="346">
        <f>'SUD Historical'!G24</f>
        <v>58</v>
      </c>
      <c r="F6" s="253">
        <v>90</v>
      </c>
      <c r="G6" s="253">
        <f t="shared" ref="G6" si="2">F6*(1+$C$6)</f>
        <v>90</v>
      </c>
      <c r="H6" s="254">
        <f t="shared" si="1"/>
        <v>90</v>
      </c>
    </row>
    <row r="7" spans="2:8" x14ac:dyDescent="0.3">
      <c r="B7" s="68" t="str">
        <f>'SUD Summary'!B19</f>
        <v>Non-Qualified Waiver Nursing Facility Population</v>
      </c>
      <c r="C7" s="275">
        <v>0</v>
      </c>
      <c r="D7" s="345">
        <v>0</v>
      </c>
      <c r="E7" s="346">
        <v>0</v>
      </c>
      <c r="F7" s="253">
        <v>0</v>
      </c>
      <c r="G7" s="253">
        <v>0</v>
      </c>
      <c r="H7" s="254">
        <v>9193.3147495700214</v>
      </c>
    </row>
    <row r="8" spans="2:8" x14ac:dyDescent="0.3">
      <c r="B8" s="68" t="str">
        <f>'SUD Summary'!B28</f>
        <v>SUD IMD Hypothetical Services CNOM MEG</v>
      </c>
      <c r="C8" s="275"/>
      <c r="D8" s="272"/>
      <c r="E8" s="258">
        <f>D8*(1+$C$8)</f>
        <v>0</v>
      </c>
      <c r="F8" s="253">
        <f t="shared" ref="F8:H8" si="3">E8*(1+$C$8)</f>
        <v>0</v>
      </c>
      <c r="G8" s="253">
        <f t="shared" si="3"/>
        <v>0</v>
      </c>
      <c r="H8" s="254">
        <f t="shared" si="3"/>
        <v>0</v>
      </c>
    </row>
    <row r="9" spans="2:8" ht="13.5" thickBot="1" x14ac:dyDescent="0.35">
      <c r="B9" s="69" t="str">
        <f>'SUD Summary'!B42</f>
        <v>SUD IMD Non-Hypothetical Services CNOM MEG</v>
      </c>
      <c r="C9" s="276"/>
      <c r="D9" s="273"/>
      <c r="E9" s="259">
        <f>D9*(1+$C$9)</f>
        <v>0</v>
      </c>
      <c r="F9" s="255">
        <f t="shared" ref="F9:H9" si="4">E9*(1+$C$9)</f>
        <v>0</v>
      </c>
      <c r="G9" s="255">
        <f t="shared" si="4"/>
        <v>0</v>
      </c>
      <c r="H9" s="256">
        <f t="shared" si="4"/>
        <v>0</v>
      </c>
    </row>
  </sheetData>
  <mergeCells count="1">
    <mergeCell ref="D2:H2"/>
  </mergeCells>
  <pageMargins left="0.7" right="0.7" top="0.75" bottom="0.75" header="0.3" footer="0.3"/>
  <pageSetup orientation="portrait" r:id="rId1"/>
  <ignoredErrors>
    <ignoredError sqref="H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72676FD78C614BA29F1766CB4A00F0" ma:contentTypeVersion="5" ma:contentTypeDescription="Create a new document." ma:contentTypeScope="" ma:versionID="04e14adf40f284af593e6b12a5d70342">
  <xsd:schema xmlns:xsd="http://www.w3.org/2001/XMLSchema" xmlns:xs="http://www.w3.org/2001/XMLSchema" xmlns:p="http://schemas.microsoft.com/office/2006/metadata/properties" xmlns:ns3="f32d6023-0047-47a5-abce-b5be51ae43ae" xmlns:ns4="3dd0f19b-5da5-4846-9baf-b2cda40bebab" targetNamespace="http://schemas.microsoft.com/office/2006/metadata/properties" ma:root="true" ma:fieldsID="75462e391ed5ec35eb5673d4bee8fd62" ns3:_="" ns4:_="">
    <xsd:import namespace="f32d6023-0047-47a5-abce-b5be51ae43ae"/>
    <xsd:import namespace="3dd0f19b-5da5-4846-9baf-b2cda40beba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2d6023-0047-47a5-abce-b5be51ae43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d0f19b-5da5-4846-9baf-b2cda40beb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78E0F0-D15E-4738-895E-51F32B4FFE13}">
  <ds:schemaRefs>
    <ds:schemaRef ds:uri="http://schemas.microsoft.com/sharepoint/v3/contenttype/forms"/>
  </ds:schemaRefs>
</ds:datastoreItem>
</file>

<file path=customXml/itemProps2.xml><?xml version="1.0" encoding="utf-8"?>
<ds:datastoreItem xmlns:ds="http://schemas.openxmlformats.org/officeDocument/2006/customXml" ds:itemID="{1BD7A985-CAC8-406B-9E56-3661FDB3953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32d6023-0047-47a5-abce-b5be51ae43ae"/>
    <ds:schemaRef ds:uri="3dd0f19b-5da5-4846-9baf-b2cda40bebab"/>
    <ds:schemaRef ds:uri="http://www.w3.org/XML/1998/namespace"/>
    <ds:schemaRef ds:uri="http://purl.org/dc/dcmitype/"/>
  </ds:schemaRefs>
</ds:datastoreItem>
</file>

<file path=customXml/itemProps3.xml><?xml version="1.0" encoding="utf-8"?>
<ds:datastoreItem xmlns:ds="http://schemas.openxmlformats.org/officeDocument/2006/customXml" ds:itemID="{A07240E3-61EB-4B5F-9A14-9F53B9FD7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2d6023-0047-47a5-abce-b5be51ae43ae"/>
    <ds:schemaRef ds:uri="3dd0f19b-5da5-4846-9baf-b2cda40beb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SUD Overview</vt:lpstr>
      <vt:lpstr>SUD Historical</vt:lpstr>
      <vt:lpstr>SUD Without Waiver</vt:lpstr>
      <vt:lpstr>SUD With Waiver</vt:lpstr>
      <vt:lpstr>SUD Summary</vt:lpstr>
      <vt:lpstr>SUD Caseloads</vt:lpstr>
      <vt:lpstr>'SUD Overview'!_ftn1</vt:lpstr>
      <vt:lpstr>'SUD Overview'!_ftnref1</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Goldman</dc:creator>
  <cp:lastModifiedBy>May, Olivia</cp:lastModifiedBy>
  <dcterms:created xsi:type="dcterms:W3CDTF">2017-08-30T16:42:22Z</dcterms:created>
  <dcterms:modified xsi:type="dcterms:W3CDTF">2022-11-03T16:00:24Z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0x010100A972676FD78C614BA29F1766CB4A00F0</vt:lpwstr>
  </property>
  <property fmtid="{D5CDD505-2E9C-101B-9397-08002B2CF9AE}" pid="3" name="Comments">
    <vt:lpwstr>Draft SUD BN template w/ sample data.</vt:lpwstr>
  </property>
  <property fmtid="{D5CDD505-2E9C-101B-9397-08002B2CF9AE}" pid="4" name="WorkflowChangePath">
    <vt:lpwstr>5678c5d4-ae02-4f25-9639-837131be4fdc,6;</vt:lpwstr>
  </property>
  <property fmtid="{D5CDD505-2E9C-101B-9397-08002B2CF9AE}" pid="5" name="_NewReviewCycle">
    <vt:lpwstr/>
  </property>
</Properties>
</file>